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590" windowHeight="11760"/>
  </bookViews>
  <sheets>
    <sheet name="Tabela Nr 1" sheetId="81" r:id="rId1"/>
    <sheet name="Tabela Nr 2 " sheetId="82" r:id="rId2"/>
    <sheet name="Tabela Nr 3" sheetId="83" r:id="rId3"/>
    <sheet name="Załącznik Nr 1" sheetId="37" r:id="rId4"/>
    <sheet name="Załącznik Nr 2" sheetId="54" r:id="rId5"/>
    <sheet name="Załącznik Nr 3" sheetId="55" r:id="rId6"/>
    <sheet name="Załącznik Nr 4" sheetId="40" r:id="rId7"/>
    <sheet name="Załącznik Nr 5" sheetId="41" r:id="rId8"/>
    <sheet name="Załącznik Nr 6" sheetId="42" r:id="rId9"/>
    <sheet name="Załącznik Nr 7" sheetId="69" r:id="rId10"/>
    <sheet name=" Załącznik Nr 8" sheetId="84" r:id="rId11"/>
    <sheet name="Załącznik Nr 9" sheetId="85" r:id="rId12"/>
    <sheet name=" Załącznik Nr 10" sheetId="86" r:id="rId13"/>
    <sheet name="Zał Nr 11 adm.rząd.doch." sheetId="78" r:id="rId14"/>
    <sheet name="Zał Nr 11 adm.rzad.wyd." sheetId="79" r:id="rId15"/>
    <sheet name="Zał Nr 12" sheetId="80" r:id="rId16"/>
    <sheet name="Załącznik Nr 13" sheetId="44" r:id="rId17"/>
  </sheets>
  <definedNames>
    <definedName name="_xlnm.Print_Area" localSheetId="12">' Załącznik Nr 10'!$A$1:$G$24</definedName>
    <definedName name="_xlnm.Print_Area" localSheetId="10">' Załącznik Nr 8'!$A$1:$G$25</definedName>
    <definedName name="_xlnm.Print_Area" localSheetId="0">'Tabela Nr 1'!$A$1:$J$504</definedName>
    <definedName name="_xlnm.Print_Area" localSheetId="1">'Tabela Nr 2 '!$A$1:$F$2291</definedName>
    <definedName name="_xlnm.Print_Area" localSheetId="2">'Tabela Nr 3'!$A$1:$J$1344</definedName>
    <definedName name="_xlnm.Print_Area" localSheetId="14">'Zał Nr 11 adm.rzad.wyd.'!$A$1:$L$81</definedName>
    <definedName name="_xlnm.Print_Area" localSheetId="13">'Zał Nr 11 adm.rząd.doch.'!$A$1:$E$39</definedName>
    <definedName name="_xlnm.Print_Area" localSheetId="15">'Zał Nr 12'!$A$1:$G$24</definedName>
    <definedName name="_xlnm.Print_Area" localSheetId="3">'Załącznik Nr 1'!$A$1:$F$53</definedName>
    <definedName name="_xlnm.Print_Area" localSheetId="16">'Załącznik Nr 13'!$A$1:$D$23</definedName>
    <definedName name="_xlnm.Print_Area" localSheetId="4">'Załącznik Nr 2'!$A$1:$I$49</definedName>
    <definedName name="_xlnm.Print_Area" localSheetId="5">'Załącznik Nr 3'!$A$1:$H$24</definedName>
    <definedName name="_xlnm.Print_Area" localSheetId="6">'Załącznik Nr 4'!$A$1:$H$7</definedName>
    <definedName name="_xlnm.Print_Area" localSheetId="7">'Załącznik Nr 5'!$A$1:$I$14</definedName>
    <definedName name="_xlnm.Print_Area" localSheetId="8">'Załącznik Nr 6'!$A$1:$I$9</definedName>
    <definedName name="_xlnm.Print_Area" localSheetId="9">'Załącznik Nr 7'!$A$1:$K$24</definedName>
    <definedName name="_xlnm.Print_Area" localSheetId="11">'Załącznik Nr 9'!$A$1:$G$41</definedName>
    <definedName name="_xlnm.Print_Titles" localSheetId="0">'Tabela Nr 1'!$7:$9</definedName>
    <definedName name="_xlnm.Print_Titles" localSheetId="1">'Tabela Nr 2 '!$6:$7</definedName>
    <definedName name="_xlnm.Print_Titles" localSheetId="14">'Zał Nr 11 adm.rzad.wyd.'!$1:$5</definedName>
    <definedName name="_xlnm.Print_Titles" localSheetId="4">'Załącznik Nr 2'!$4:$6</definedName>
    <definedName name="_xlnm.Print_Titles" localSheetId="5">'Załącznik Nr 3'!$3:$4</definedName>
    <definedName name="_xlnm.Print_Titles" localSheetId="7">'Załącznik Nr 5'!$4:$6</definedName>
  </definedNames>
  <calcPr calcId="152511"/>
</workbook>
</file>

<file path=xl/calcChain.xml><?xml version="1.0" encoding="utf-8"?>
<calcChain xmlns="http://schemas.openxmlformats.org/spreadsheetml/2006/main">
  <c r="F516" i="82" l="1"/>
  <c r="G14" i="41" l="1"/>
  <c r="G10" i="41"/>
  <c r="F10" i="41"/>
  <c r="F14" i="41" s="1"/>
  <c r="E11" i="41"/>
  <c r="E10" i="41" l="1"/>
  <c r="E14" i="41"/>
  <c r="E10" i="55"/>
  <c r="F2288" i="82"/>
  <c r="F1101" i="82"/>
  <c r="F1106" i="82"/>
  <c r="F1105" i="82" s="1"/>
  <c r="E1106" i="82"/>
  <c r="E1105" i="82"/>
  <c r="F1417" i="82"/>
  <c r="F1122" i="82"/>
  <c r="E29" i="54" l="1"/>
  <c r="E37" i="54"/>
  <c r="D7" i="86" l="1"/>
  <c r="D8" i="86" s="1"/>
  <c r="E8" i="86"/>
  <c r="F8" i="86"/>
  <c r="D15" i="86"/>
  <c r="D16" i="86" s="1"/>
  <c r="E16" i="86"/>
  <c r="F16" i="86"/>
  <c r="D23" i="86"/>
  <c r="D24" i="86" s="1"/>
  <c r="E24" i="86"/>
  <c r="F24" i="86"/>
  <c r="F41" i="85"/>
  <c r="E41" i="85"/>
  <c r="D40" i="85"/>
  <c r="D39" i="85"/>
  <c r="D38" i="85"/>
  <c r="D37" i="85"/>
  <c r="D36" i="85"/>
  <c r="D35" i="85"/>
  <c r="D34" i="85"/>
  <c r="D33" i="85"/>
  <c r="D41" i="85" s="1"/>
  <c r="F28" i="85"/>
  <c r="E28" i="85"/>
  <c r="D27" i="85"/>
  <c r="D26" i="85"/>
  <c r="D25" i="85"/>
  <c r="D24" i="85"/>
  <c r="D23" i="85"/>
  <c r="D22" i="85"/>
  <c r="D21" i="85"/>
  <c r="D20" i="85"/>
  <c r="D19" i="85"/>
  <c r="D18" i="85"/>
  <c r="D17" i="85"/>
  <c r="D16" i="85"/>
  <c r="D15" i="85"/>
  <c r="D14" i="85"/>
  <c r="D13" i="85"/>
  <c r="D12" i="85"/>
  <c r="D11" i="85"/>
  <c r="D10" i="85"/>
  <c r="D9" i="85"/>
  <c r="D8" i="85"/>
  <c r="D7" i="85"/>
  <c r="D28" i="85" s="1"/>
  <c r="F25" i="84"/>
  <c r="E25" i="84"/>
  <c r="D24" i="84"/>
  <c r="D23" i="84"/>
  <c r="D22" i="84"/>
  <c r="D21" i="84"/>
  <c r="D20" i="84"/>
  <c r="D19" i="84"/>
  <c r="D18" i="84"/>
  <c r="D25" i="84" s="1"/>
  <c r="F13" i="84"/>
  <c r="E13" i="84"/>
  <c r="D12" i="84"/>
  <c r="D11" i="84"/>
  <c r="D10" i="84"/>
  <c r="D9" i="84"/>
  <c r="D8" i="84"/>
  <c r="D7" i="84"/>
  <c r="D13" i="84" s="1"/>
  <c r="F1343" i="83"/>
  <c r="F1342" i="83"/>
  <c r="J1341" i="83"/>
  <c r="I1341" i="83"/>
  <c r="H1341" i="83"/>
  <c r="G1341" i="83"/>
  <c r="F1341" i="83"/>
  <c r="F1340" i="83"/>
  <c r="F1339" i="83"/>
  <c r="F1338" i="83"/>
  <c r="F1337" i="83"/>
  <c r="F1336" i="83"/>
  <c r="F1335" i="83"/>
  <c r="F1334" i="83"/>
  <c r="F1333" i="83"/>
  <c r="F1332" i="83"/>
  <c r="F1331" i="83"/>
  <c r="F1330" i="83"/>
  <c r="J1329" i="83"/>
  <c r="I1329" i="83"/>
  <c r="H1329" i="83"/>
  <c r="G1329" i="83"/>
  <c r="F1329" i="83"/>
  <c r="F1328" i="83"/>
  <c r="F1327" i="83"/>
  <c r="F1326" i="83"/>
  <c r="F1325" i="83"/>
  <c r="F1324" i="83"/>
  <c r="F1323" i="83"/>
  <c r="F1322" i="83"/>
  <c r="F1321" i="83"/>
  <c r="F1320" i="83" s="1"/>
  <c r="F1316" i="83" s="1"/>
  <c r="F1315" i="83" s="1"/>
  <c r="J1320" i="83"/>
  <c r="I1320" i="83"/>
  <c r="H1320" i="83"/>
  <c r="G1320" i="83"/>
  <c r="F1319" i="83"/>
  <c r="F1318" i="83"/>
  <c r="J1317" i="83"/>
  <c r="I1317" i="83"/>
  <c r="H1317" i="83"/>
  <c r="G1317" i="83"/>
  <c r="F1317" i="83"/>
  <c r="J1316" i="83"/>
  <c r="J1315" i="83" s="1"/>
  <c r="I1316" i="83"/>
  <c r="H1316" i="83"/>
  <c r="H1315" i="83" s="1"/>
  <c r="G1316" i="83"/>
  <c r="I1315" i="83"/>
  <c r="G1315" i="83"/>
  <c r="F1314" i="83"/>
  <c r="F1312" i="83" s="1"/>
  <c r="F1313" i="83"/>
  <c r="J1312" i="83"/>
  <c r="I1312" i="83"/>
  <c r="H1312" i="83"/>
  <c r="G1312" i="83"/>
  <c r="F1311" i="83"/>
  <c r="F1310" i="83"/>
  <c r="F1309" i="83"/>
  <c r="F1308" i="83"/>
  <c r="F1307" i="83"/>
  <c r="F1306" i="83"/>
  <c r="F1305" i="83"/>
  <c r="F1304" i="83"/>
  <c r="F1303" i="83"/>
  <c r="F1302" i="83"/>
  <c r="F1301" i="83" s="1"/>
  <c r="J1301" i="83"/>
  <c r="I1301" i="83"/>
  <c r="H1301" i="83"/>
  <c r="G1301" i="83"/>
  <c r="F1300" i="83"/>
  <c r="F1299" i="83"/>
  <c r="F1298" i="83"/>
  <c r="F1297" i="83"/>
  <c r="F1296" i="83"/>
  <c r="F1295" i="83"/>
  <c r="F1294" i="83"/>
  <c r="F1292" i="83" s="1"/>
  <c r="F1293" i="83"/>
  <c r="J1292" i="83"/>
  <c r="I1292" i="83"/>
  <c r="H1292" i="83"/>
  <c r="G1292" i="83"/>
  <c r="F1291" i="83"/>
  <c r="F1290" i="83"/>
  <c r="F1289" i="83" s="1"/>
  <c r="J1289" i="83"/>
  <c r="I1289" i="83"/>
  <c r="I1288" i="83" s="1"/>
  <c r="I1287" i="83" s="1"/>
  <c r="I1257" i="83" s="1"/>
  <c r="H1289" i="83"/>
  <c r="G1289" i="83"/>
  <c r="J1288" i="83"/>
  <c r="J1287" i="83" s="1"/>
  <c r="H1288" i="83"/>
  <c r="H1287" i="83" s="1"/>
  <c r="H1257" i="83" s="1"/>
  <c r="F1286" i="83"/>
  <c r="F1284" i="83" s="1"/>
  <c r="F1285" i="83"/>
  <c r="J1284" i="83"/>
  <c r="I1284" i="83"/>
  <c r="H1284" i="83"/>
  <c r="G1284" i="83"/>
  <c r="F1283" i="83"/>
  <c r="F1282" i="83"/>
  <c r="F1281" i="83"/>
  <c r="F1280" i="83"/>
  <c r="F1279" i="83"/>
  <c r="F1278" i="83"/>
  <c r="F1277" i="83"/>
  <c r="F1276" i="83"/>
  <c r="F1275" i="83"/>
  <c r="F1274" i="83"/>
  <c r="F1273" i="83" s="1"/>
  <c r="J1273" i="83"/>
  <c r="I1273" i="83"/>
  <c r="H1273" i="83"/>
  <c r="G1273" i="83"/>
  <c r="F1272" i="83"/>
  <c r="F1271" i="83"/>
  <c r="F1270" i="83"/>
  <c r="F1269" i="83"/>
  <c r="F1268" i="83"/>
  <c r="F1267" i="83"/>
  <c r="F1266" i="83"/>
  <c r="F1264" i="83" s="1"/>
  <c r="F1265" i="83"/>
  <c r="J1264" i="83"/>
  <c r="I1264" i="83"/>
  <c r="H1264" i="83"/>
  <c r="H1260" i="83" s="1"/>
  <c r="H1259" i="83" s="1"/>
  <c r="G1264" i="83"/>
  <c r="F1263" i="83"/>
  <c r="F1262" i="83"/>
  <c r="F1261" i="83" s="1"/>
  <c r="J1261" i="83"/>
  <c r="I1261" i="83"/>
  <c r="I1260" i="83" s="1"/>
  <c r="I1259" i="83" s="1"/>
  <c r="H1261" i="83"/>
  <c r="G1261" i="83"/>
  <c r="G1260" i="83" s="1"/>
  <c r="G1259" i="83" s="1"/>
  <c r="J1260" i="83"/>
  <c r="J1259" i="83" s="1"/>
  <c r="J1257" i="83"/>
  <c r="F1256" i="83"/>
  <c r="F1255" i="83"/>
  <c r="F1254" i="83" s="1"/>
  <c r="J1254" i="83"/>
  <c r="I1254" i="83"/>
  <c r="I1234" i="83" s="1"/>
  <c r="H1254" i="83"/>
  <c r="G1254" i="83"/>
  <c r="F1253" i="83"/>
  <c r="F1252" i="83"/>
  <c r="F1251" i="83"/>
  <c r="F1250" i="83"/>
  <c r="F1249" i="83"/>
  <c r="F1247" i="83" s="1"/>
  <c r="F1248" i="83"/>
  <c r="J1247" i="83"/>
  <c r="I1247" i="83"/>
  <c r="H1247" i="83"/>
  <c r="G1247" i="83"/>
  <c r="F1246" i="83"/>
  <c r="F1245" i="83"/>
  <c r="F1244" i="83"/>
  <c r="F1243" i="83"/>
  <c r="F1242" i="83"/>
  <c r="F1241" i="83"/>
  <c r="F1240" i="83"/>
  <c r="F1239" i="83"/>
  <c r="F1238" i="83" s="1"/>
  <c r="J1238" i="83"/>
  <c r="I1238" i="83"/>
  <c r="I1235" i="83" s="1"/>
  <c r="H1238" i="83"/>
  <c r="G1238" i="83"/>
  <c r="F1237" i="83"/>
  <c r="F1236" i="83" s="1"/>
  <c r="J1236" i="83"/>
  <c r="I1236" i="83"/>
  <c r="H1236" i="83"/>
  <c r="G1236" i="83"/>
  <c r="G1235" i="83" s="1"/>
  <c r="G1234" i="83" s="1"/>
  <c r="J1235" i="83"/>
  <c r="H1235" i="83"/>
  <c r="H1234" i="83" s="1"/>
  <c r="J1234" i="83"/>
  <c r="F1233" i="83"/>
  <c r="F1231" i="83" s="1"/>
  <c r="F1232" i="83"/>
  <c r="J1231" i="83"/>
  <c r="I1231" i="83"/>
  <c r="H1231" i="83"/>
  <c r="G1231" i="83"/>
  <c r="F1230" i="83"/>
  <c r="F1229" i="83"/>
  <c r="F1228" i="83"/>
  <c r="F1227" i="83"/>
  <c r="F1226" i="83"/>
  <c r="F1225" i="83"/>
  <c r="F1224" i="83"/>
  <c r="F1223" i="83"/>
  <c r="F1222" i="83"/>
  <c r="F1221" i="83"/>
  <c r="F1220" i="83"/>
  <c r="F1219" i="83"/>
  <c r="F1218" i="83"/>
  <c r="F1217" i="83"/>
  <c r="F1216" i="83"/>
  <c r="F1215" i="83"/>
  <c r="F1214" i="83"/>
  <c r="F1213" i="83"/>
  <c r="F1212" i="83"/>
  <c r="F1211" i="83"/>
  <c r="F1210" i="83"/>
  <c r="F1209" i="83"/>
  <c r="F1206" i="83" s="1"/>
  <c r="F1208" i="83"/>
  <c r="F1207" i="83"/>
  <c r="J1206" i="83"/>
  <c r="I1206" i="83"/>
  <c r="I1191" i="83" s="1"/>
  <c r="H1206" i="83"/>
  <c r="G1206" i="83"/>
  <c r="F1205" i="83"/>
  <c r="F1204" i="83"/>
  <c r="F1203" i="83"/>
  <c r="F1202" i="83"/>
  <c r="F1201" i="83"/>
  <c r="F1200" i="83"/>
  <c r="F1199" i="83"/>
  <c r="F1198" i="83"/>
  <c r="F1197" i="83"/>
  <c r="F1195" i="83" s="1"/>
  <c r="F1196" i="83"/>
  <c r="J1195" i="83"/>
  <c r="I1195" i="83"/>
  <c r="H1195" i="83"/>
  <c r="H1191" i="83" s="1"/>
  <c r="H1190" i="83" s="1"/>
  <c r="G1195" i="83"/>
  <c r="F1194" i="83"/>
  <c r="F1193" i="83"/>
  <c r="F1192" i="83" s="1"/>
  <c r="J1192" i="83"/>
  <c r="I1192" i="83"/>
  <c r="H1192" i="83"/>
  <c r="G1192" i="83"/>
  <c r="G1191" i="83" s="1"/>
  <c r="G1190" i="83" s="1"/>
  <c r="J1191" i="83"/>
  <c r="J1190" i="83"/>
  <c r="I1190" i="83"/>
  <c r="F1189" i="83"/>
  <c r="F1187" i="83" s="1"/>
  <c r="F1188" i="83"/>
  <c r="J1187" i="83"/>
  <c r="I1187" i="83"/>
  <c r="H1187" i="83"/>
  <c r="H1167" i="83" s="1"/>
  <c r="G1187" i="83"/>
  <c r="F1186" i="83"/>
  <c r="F1185" i="83"/>
  <c r="F1184" i="83"/>
  <c r="F1183" i="83"/>
  <c r="F1182" i="83"/>
  <c r="F1181" i="83"/>
  <c r="F1180" i="83" s="1"/>
  <c r="J1180" i="83"/>
  <c r="I1180" i="83"/>
  <c r="H1180" i="83"/>
  <c r="G1180" i="83"/>
  <c r="F1179" i="83"/>
  <c r="F1178" i="83"/>
  <c r="F1177" i="83"/>
  <c r="F1176" i="83"/>
  <c r="F1175" i="83"/>
  <c r="F1174" i="83"/>
  <c r="F1173" i="83"/>
  <c r="F1171" i="83" s="1"/>
  <c r="F1172" i="83"/>
  <c r="J1171" i="83"/>
  <c r="I1171" i="83"/>
  <c r="H1171" i="83"/>
  <c r="H1168" i="83" s="1"/>
  <c r="G1171" i="83"/>
  <c r="F1170" i="83"/>
  <c r="J1169" i="83"/>
  <c r="J1168" i="83" s="1"/>
  <c r="J1167" i="83" s="1"/>
  <c r="I1169" i="83"/>
  <c r="H1169" i="83"/>
  <c r="G1169" i="83"/>
  <c r="F1169" i="83"/>
  <c r="I1168" i="83"/>
  <c r="G1168" i="83"/>
  <c r="G1167" i="83" s="1"/>
  <c r="G1108" i="83" s="1"/>
  <c r="I1167" i="83"/>
  <c r="F1166" i="83"/>
  <c r="F1165" i="83"/>
  <c r="F1163" i="83" s="1"/>
  <c r="F1164" i="83"/>
  <c r="J1163" i="83"/>
  <c r="I1163" i="83"/>
  <c r="H1163" i="83"/>
  <c r="G1163" i="83"/>
  <c r="F1162" i="83"/>
  <c r="F1161" i="83"/>
  <c r="F1160" i="83"/>
  <c r="F1159" i="83"/>
  <c r="F1158" i="83"/>
  <c r="F1157" i="83"/>
  <c r="F1156" i="83"/>
  <c r="F1155" i="83"/>
  <c r="F1154" i="83"/>
  <c r="F1153" i="83"/>
  <c r="F1152" i="83" s="1"/>
  <c r="J1152" i="83"/>
  <c r="I1152" i="83"/>
  <c r="H1152" i="83"/>
  <c r="G1152" i="83"/>
  <c r="G1142" i="83" s="1"/>
  <c r="G1141" i="83" s="1"/>
  <c r="F1151" i="83"/>
  <c r="F1150" i="83"/>
  <c r="F1149" i="83"/>
  <c r="F1148" i="83"/>
  <c r="F1147" i="83"/>
  <c r="F1146" i="83"/>
  <c r="J1145" i="83"/>
  <c r="J1142" i="83" s="1"/>
  <c r="I1145" i="83"/>
  <c r="H1145" i="83"/>
  <c r="G1145" i="83"/>
  <c r="F1145" i="83"/>
  <c r="F1142" i="83" s="1"/>
  <c r="F1141" i="83" s="1"/>
  <c r="F1144" i="83"/>
  <c r="J1143" i="83"/>
  <c r="I1143" i="83"/>
  <c r="H1143" i="83"/>
  <c r="H1142" i="83" s="1"/>
  <c r="G1143" i="83"/>
  <c r="F1143" i="83"/>
  <c r="I1142" i="83"/>
  <c r="I1141" i="83" s="1"/>
  <c r="J1141" i="83"/>
  <c r="F1140" i="83"/>
  <c r="F1139" i="83"/>
  <c r="J1138" i="83"/>
  <c r="I1138" i="83"/>
  <c r="H1138" i="83"/>
  <c r="G1138" i="83"/>
  <c r="F1138" i="83"/>
  <c r="F1137" i="83"/>
  <c r="F1136" i="83"/>
  <c r="F1135" i="83"/>
  <c r="H1134" i="83"/>
  <c r="F1134" i="83"/>
  <c r="F1133" i="83" s="1"/>
  <c r="J1133" i="83"/>
  <c r="I1133" i="83"/>
  <c r="H1133" i="83"/>
  <c r="G1133" i="83"/>
  <c r="G1123" i="83" s="1"/>
  <c r="G1122" i="83" s="1"/>
  <c r="F1132" i="83"/>
  <c r="F1131" i="83"/>
  <c r="F1130" i="83"/>
  <c r="F1129" i="83"/>
  <c r="F1128" i="83"/>
  <c r="F1127" i="83"/>
  <c r="F1126" i="83"/>
  <c r="F1124" i="83" s="1"/>
  <c r="F1123" i="83" s="1"/>
  <c r="F1122" i="83" s="1"/>
  <c r="F1125" i="83"/>
  <c r="J1124" i="83"/>
  <c r="I1124" i="83"/>
  <c r="H1124" i="83"/>
  <c r="H1123" i="83" s="1"/>
  <c r="H1122" i="83" s="1"/>
  <c r="G1124" i="83"/>
  <c r="J1123" i="83"/>
  <c r="I1123" i="83"/>
  <c r="I1122" i="83" s="1"/>
  <c r="J1122" i="83"/>
  <c r="F1121" i="83"/>
  <c r="F1120" i="83"/>
  <c r="J1119" i="83"/>
  <c r="I1119" i="83"/>
  <c r="H1119" i="83"/>
  <c r="G1119" i="83"/>
  <c r="F1119" i="83"/>
  <c r="F1118" i="83"/>
  <c r="F1116" i="83" s="1"/>
  <c r="F1117" i="83"/>
  <c r="J1116" i="83"/>
  <c r="I1116" i="83"/>
  <c r="H1116" i="83"/>
  <c r="G1116" i="83"/>
  <c r="F1115" i="83"/>
  <c r="F1114" i="83"/>
  <c r="F1112" i="83" s="1"/>
  <c r="F1111" i="83" s="1"/>
  <c r="F1113" i="83"/>
  <c r="J1112" i="83"/>
  <c r="I1112" i="83"/>
  <c r="H1112" i="83"/>
  <c r="H1111" i="83" s="1"/>
  <c r="H1110" i="83" s="1"/>
  <c r="G1112" i="83"/>
  <c r="J1111" i="83"/>
  <c r="I1111" i="83"/>
  <c r="I1110" i="83" s="1"/>
  <c r="I1108" i="83" s="1"/>
  <c r="G1111" i="83"/>
  <c r="J1110" i="83"/>
  <c r="G1110" i="83"/>
  <c r="F1110" i="83"/>
  <c r="F1107" i="83"/>
  <c r="F1106" i="83"/>
  <c r="J1105" i="83"/>
  <c r="I1105" i="83"/>
  <c r="H1105" i="83"/>
  <c r="G1105" i="83"/>
  <c r="F1105" i="83"/>
  <c r="F1104" i="83"/>
  <c r="F1103" i="83"/>
  <c r="F1102" i="83"/>
  <c r="F1101" i="83"/>
  <c r="F1100" i="83"/>
  <c r="F1099" i="83"/>
  <c r="F1098" i="83"/>
  <c r="F1097" i="83"/>
  <c r="F1096" i="83"/>
  <c r="F1095" i="83"/>
  <c r="F1094" i="83"/>
  <c r="F1093" i="83"/>
  <c r="F1092" i="83"/>
  <c r="F1091" i="83"/>
  <c r="F1090" i="83"/>
  <c r="F1089" i="83"/>
  <c r="F1088" i="83"/>
  <c r="F1087" i="83"/>
  <c r="F1086" i="83"/>
  <c r="F1085" i="83"/>
  <c r="F1084" i="83"/>
  <c r="F1083" i="83"/>
  <c r="F1082" i="83"/>
  <c r="F1081" i="83"/>
  <c r="F1080" i="83"/>
  <c r="F1079" i="83"/>
  <c r="J1078" i="83"/>
  <c r="I1078" i="83"/>
  <c r="H1078" i="83"/>
  <c r="G1078" i="83"/>
  <c r="F1077" i="83"/>
  <c r="F1076" i="83"/>
  <c r="F1075" i="83"/>
  <c r="F1074" i="83"/>
  <c r="F1073" i="83"/>
  <c r="F1072" i="83"/>
  <c r="F1071" i="83"/>
  <c r="F1070" i="83"/>
  <c r="F1069" i="83"/>
  <c r="F1067" i="83" s="1"/>
  <c r="F1068" i="83"/>
  <c r="J1067" i="83"/>
  <c r="I1067" i="83"/>
  <c r="H1067" i="83"/>
  <c r="G1067" i="83"/>
  <c r="F1066" i="83"/>
  <c r="F1065" i="83"/>
  <c r="F1064" i="83" s="1"/>
  <c r="J1064" i="83"/>
  <c r="I1064" i="83"/>
  <c r="I1063" i="83" s="1"/>
  <c r="I1062" i="83" s="1"/>
  <c r="H1064" i="83"/>
  <c r="G1064" i="83"/>
  <c r="G1063" i="83" s="1"/>
  <c r="G1062" i="83" s="1"/>
  <c r="J1063" i="83"/>
  <c r="H1063" i="83"/>
  <c r="H1062" i="83" s="1"/>
  <c r="F1061" i="83"/>
  <c r="F1059" i="83" s="1"/>
  <c r="F1060" i="83"/>
  <c r="J1059" i="83"/>
  <c r="I1059" i="83"/>
  <c r="H1059" i="83"/>
  <c r="G1059" i="83"/>
  <c r="F1058" i="83"/>
  <c r="F1057" i="83"/>
  <c r="F1056" i="83"/>
  <c r="F1055" i="83"/>
  <c r="F1054" i="83"/>
  <c r="F1053" i="83"/>
  <c r="F1052" i="83"/>
  <c r="F1051" i="83"/>
  <c r="F1050" i="83"/>
  <c r="F1049" i="83"/>
  <c r="F1048" i="83"/>
  <c r="F1047" i="83"/>
  <c r="F1046" i="83"/>
  <c r="F1045" i="83"/>
  <c r="F1044" i="83"/>
  <c r="F1043" i="83"/>
  <c r="F1042" i="83"/>
  <c r="F1041" i="83"/>
  <c r="F1040" i="83"/>
  <c r="F1039" i="83"/>
  <c r="F1038" i="83"/>
  <c r="F1037" i="83"/>
  <c r="F1036" i="83"/>
  <c r="F1035" i="83"/>
  <c r="F1034" i="83"/>
  <c r="F1033" i="83"/>
  <c r="F1032" i="83" s="1"/>
  <c r="J1032" i="83"/>
  <c r="I1032" i="83"/>
  <c r="H1032" i="83"/>
  <c r="G1032" i="83"/>
  <c r="F1031" i="83"/>
  <c r="F1030" i="83"/>
  <c r="F1029" i="83"/>
  <c r="F1028" i="83"/>
  <c r="F1027" i="83"/>
  <c r="F1026" i="83"/>
  <c r="F1025" i="83"/>
  <c r="F1024" i="83"/>
  <c r="F1023" i="83"/>
  <c r="F1022" i="83"/>
  <c r="J1021" i="83"/>
  <c r="J1017" i="83" s="1"/>
  <c r="J1016" i="83" s="1"/>
  <c r="I1021" i="83"/>
  <c r="H1021" i="83"/>
  <c r="G1021" i="83"/>
  <c r="F1021" i="83"/>
  <c r="F1017" i="83" s="1"/>
  <c r="F1016" i="83" s="1"/>
  <c r="F1020" i="83"/>
  <c r="F1019" i="83"/>
  <c r="F1018" i="83" s="1"/>
  <c r="J1018" i="83"/>
  <c r="I1018" i="83"/>
  <c r="I1017" i="83" s="1"/>
  <c r="I1016" i="83" s="1"/>
  <c r="H1018" i="83"/>
  <c r="G1018" i="83"/>
  <c r="H1017" i="83"/>
  <c r="H1016" i="83" s="1"/>
  <c r="F1015" i="83"/>
  <c r="F1014" i="83"/>
  <c r="F1013" i="83"/>
  <c r="F1012" i="83"/>
  <c r="F1011" i="83"/>
  <c r="F1010" i="83"/>
  <c r="F1009" i="83"/>
  <c r="F1007" i="83" s="1"/>
  <c r="F1008" i="83"/>
  <c r="J1007" i="83"/>
  <c r="I1007" i="83"/>
  <c r="H1007" i="83"/>
  <c r="H989" i="83" s="1"/>
  <c r="G1007" i="83"/>
  <c r="F1006" i="83"/>
  <c r="F1005" i="83"/>
  <c r="F1004" i="83"/>
  <c r="F1003" i="83"/>
  <c r="F1002" i="83"/>
  <c r="F1001" i="83"/>
  <c r="F1000" i="83"/>
  <c r="F999" i="83"/>
  <c r="F998" i="83"/>
  <c r="F997" i="83"/>
  <c r="F996" i="83"/>
  <c r="F995" i="83"/>
  <c r="F994" i="83"/>
  <c r="F993" i="83"/>
  <c r="F992" i="83"/>
  <c r="F991" i="83"/>
  <c r="J990" i="83"/>
  <c r="I990" i="83"/>
  <c r="I989" i="83" s="1"/>
  <c r="H990" i="83"/>
  <c r="G990" i="83"/>
  <c r="G989" i="83" s="1"/>
  <c r="J989" i="83"/>
  <c r="F988" i="83"/>
  <c r="F987" i="83"/>
  <c r="F986" i="83" s="1"/>
  <c r="J986" i="83"/>
  <c r="I986" i="83"/>
  <c r="H986" i="83"/>
  <c r="G986" i="83"/>
  <c r="F985" i="83"/>
  <c r="F984" i="83"/>
  <c r="F983" i="83"/>
  <c r="J982" i="83"/>
  <c r="I982" i="83"/>
  <c r="H982" i="83"/>
  <c r="G982" i="83"/>
  <c r="G981" i="83" s="1"/>
  <c r="J981" i="83"/>
  <c r="H981" i="83"/>
  <c r="F978" i="83"/>
  <c r="F977" i="83"/>
  <c r="J976" i="83"/>
  <c r="J956" i="83" s="1"/>
  <c r="J954" i="83" s="1"/>
  <c r="I976" i="83"/>
  <c r="H976" i="83"/>
  <c r="G976" i="83"/>
  <c r="F976" i="83"/>
  <c r="F975" i="83"/>
  <c r="F974" i="83"/>
  <c r="F973" i="83"/>
  <c r="F972" i="83"/>
  <c r="F971" i="83"/>
  <c r="F970" i="83"/>
  <c r="F969" i="83"/>
  <c r="F968" i="83"/>
  <c r="F967" i="83"/>
  <c r="F966" i="83"/>
  <c r="J965" i="83"/>
  <c r="I965" i="83"/>
  <c r="I957" i="83" s="1"/>
  <c r="I956" i="83" s="1"/>
  <c r="I954" i="83" s="1"/>
  <c r="H965" i="83"/>
  <c r="G965" i="83"/>
  <c r="F964" i="83"/>
  <c r="F963" i="83"/>
  <c r="F962" i="83"/>
  <c r="F961" i="83"/>
  <c r="F960" i="83"/>
  <c r="F958" i="83" s="1"/>
  <c r="F959" i="83"/>
  <c r="J958" i="83"/>
  <c r="J957" i="83" s="1"/>
  <c r="I958" i="83"/>
  <c r="H958" i="83"/>
  <c r="H957" i="83" s="1"/>
  <c r="H956" i="83" s="1"/>
  <c r="H954" i="83" s="1"/>
  <c r="G958" i="83"/>
  <c r="G957" i="83"/>
  <c r="G956" i="83" s="1"/>
  <c r="G954" i="83"/>
  <c r="F953" i="83"/>
  <c r="F952" i="83"/>
  <c r="F951" i="83"/>
  <c r="F950" i="83" s="1"/>
  <c r="J950" i="83"/>
  <c r="I950" i="83"/>
  <c r="H950" i="83"/>
  <c r="G950" i="83"/>
  <c r="F949" i="83"/>
  <c r="F948" i="83"/>
  <c r="F947" i="83"/>
  <c r="F946" i="83"/>
  <c r="F945" i="83"/>
  <c r="J944" i="83"/>
  <c r="I944" i="83"/>
  <c r="H944" i="83"/>
  <c r="G944" i="83"/>
  <c r="F943" i="83"/>
  <c r="F941" i="83" s="1"/>
  <c r="F942" i="83"/>
  <c r="J941" i="83"/>
  <c r="J940" i="83" s="1"/>
  <c r="J939" i="83" s="1"/>
  <c r="J937" i="83" s="1"/>
  <c r="I941" i="83"/>
  <c r="H941" i="83"/>
  <c r="H940" i="83" s="1"/>
  <c r="H939" i="83" s="1"/>
  <c r="H937" i="83" s="1"/>
  <c r="G941" i="83"/>
  <c r="I940" i="83"/>
  <c r="I939" i="83" s="1"/>
  <c r="I937" i="83" s="1"/>
  <c r="G940" i="83"/>
  <c r="I936" i="83"/>
  <c r="F936" i="83" s="1"/>
  <c r="J935" i="83"/>
  <c r="H935" i="83"/>
  <c r="G935" i="83"/>
  <c r="F935" i="83"/>
  <c r="F934" i="83"/>
  <c r="F933" i="83"/>
  <c r="F932" i="83" s="1"/>
  <c r="J932" i="83"/>
  <c r="I932" i="83"/>
  <c r="I928" i="83" s="1"/>
  <c r="H932" i="83"/>
  <c r="G932" i="83"/>
  <c r="F931" i="83"/>
  <c r="F929" i="83" s="1"/>
  <c r="F928" i="83" s="1"/>
  <c r="F927" i="83" s="1"/>
  <c r="F925" i="83" s="1"/>
  <c r="F930" i="83"/>
  <c r="J929" i="83"/>
  <c r="J928" i="83" s="1"/>
  <c r="I929" i="83"/>
  <c r="H929" i="83"/>
  <c r="H928" i="83" s="1"/>
  <c r="H927" i="83" s="1"/>
  <c r="H925" i="83" s="1"/>
  <c r="G929" i="83"/>
  <c r="G928" i="83"/>
  <c r="G927" i="83" s="1"/>
  <c r="G925" i="83" s="1"/>
  <c r="J927" i="83"/>
  <c r="J925" i="83" s="1"/>
  <c r="I924" i="83"/>
  <c r="F924" i="83" s="1"/>
  <c r="J923" i="83"/>
  <c r="H923" i="83"/>
  <c r="G923" i="83"/>
  <c r="F923" i="83"/>
  <c r="F922" i="83"/>
  <c r="F921" i="83"/>
  <c r="F920" i="83" s="1"/>
  <c r="J920" i="83"/>
  <c r="I920" i="83"/>
  <c r="H920" i="83"/>
  <c r="G920" i="83"/>
  <c r="F919" i="83"/>
  <c r="F917" i="83" s="1"/>
  <c r="F918" i="83"/>
  <c r="J917" i="83"/>
  <c r="J916" i="83" s="1"/>
  <c r="J915" i="83" s="1"/>
  <c r="J913" i="83" s="1"/>
  <c r="I917" i="83"/>
  <c r="H917" i="83"/>
  <c r="H916" i="83" s="1"/>
  <c r="H915" i="83" s="1"/>
  <c r="H913" i="83" s="1"/>
  <c r="G917" i="83"/>
  <c r="I916" i="83"/>
  <c r="G916" i="83"/>
  <c r="G915" i="83" s="1"/>
  <c r="G913" i="83"/>
  <c r="F912" i="83"/>
  <c r="F911" i="83"/>
  <c r="F910" i="83"/>
  <c r="F909" i="83"/>
  <c r="F908" i="83"/>
  <c r="F907" i="83"/>
  <c r="J906" i="83"/>
  <c r="I906" i="83"/>
  <c r="H906" i="83"/>
  <c r="G906" i="83"/>
  <c r="F906" i="83"/>
  <c r="F905" i="83"/>
  <c r="F904" i="83"/>
  <c r="F903" i="83" s="1"/>
  <c r="J903" i="83"/>
  <c r="I903" i="83"/>
  <c r="H903" i="83"/>
  <c r="G903" i="83"/>
  <c r="F902" i="83"/>
  <c r="F900" i="83" s="1"/>
  <c r="F901" i="83"/>
  <c r="J900" i="83"/>
  <c r="J899" i="83" s="1"/>
  <c r="J898" i="83" s="1"/>
  <c r="I900" i="83"/>
  <c r="H900" i="83"/>
  <c r="H899" i="83" s="1"/>
  <c r="H898" i="83" s="1"/>
  <c r="G900" i="83"/>
  <c r="I899" i="83"/>
  <c r="I898" i="83" s="1"/>
  <c r="G899" i="83"/>
  <c r="G898" i="83" s="1"/>
  <c r="F897" i="83"/>
  <c r="F896" i="83"/>
  <c r="F895" i="83"/>
  <c r="F894" i="83"/>
  <c r="F893" i="83"/>
  <c r="F892" i="83"/>
  <c r="F891" i="83"/>
  <c r="J890" i="83"/>
  <c r="I890" i="83"/>
  <c r="H890" i="83"/>
  <c r="G890" i="83"/>
  <c r="F890" i="83"/>
  <c r="F889" i="83"/>
  <c r="F888" i="83"/>
  <c r="F887" i="83" s="1"/>
  <c r="J887" i="83"/>
  <c r="I887" i="83"/>
  <c r="H887" i="83"/>
  <c r="G887" i="83"/>
  <c r="F886" i="83"/>
  <c r="F884" i="83" s="1"/>
  <c r="F885" i="83"/>
  <c r="J884" i="83"/>
  <c r="J883" i="83" s="1"/>
  <c r="J882" i="83" s="1"/>
  <c r="I884" i="83"/>
  <c r="H884" i="83"/>
  <c r="H883" i="83" s="1"/>
  <c r="H882" i="83" s="1"/>
  <c r="G884" i="83"/>
  <c r="I883" i="83"/>
  <c r="I882" i="83" s="1"/>
  <c r="G883" i="83"/>
  <c r="G882" i="83" s="1"/>
  <c r="F881" i="83"/>
  <c r="F880" i="83"/>
  <c r="F879" i="83"/>
  <c r="F878" i="83"/>
  <c r="F877" i="83"/>
  <c r="F876" i="83"/>
  <c r="J875" i="83"/>
  <c r="I875" i="83"/>
  <c r="H875" i="83"/>
  <c r="G875" i="83"/>
  <c r="F874" i="83"/>
  <c r="F872" i="83" s="1"/>
  <c r="F873" i="83"/>
  <c r="J872" i="83"/>
  <c r="I872" i="83"/>
  <c r="H872" i="83"/>
  <c r="G872" i="83"/>
  <c r="F871" i="83"/>
  <c r="F870" i="83"/>
  <c r="F869" i="83" s="1"/>
  <c r="F868" i="83" s="1"/>
  <c r="J869" i="83"/>
  <c r="I869" i="83"/>
  <c r="I868" i="83" s="1"/>
  <c r="H869" i="83"/>
  <c r="G869" i="83"/>
  <c r="G868" i="83" s="1"/>
  <c r="G867" i="83" s="1"/>
  <c r="J868" i="83"/>
  <c r="J867" i="83" s="1"/>
  <c r="H868" i="83"/>
  <c r="H867" i="83" s="1"/>
  <c r="I867" i="83"/>
  <c r="F866" i="83"/>
  <c r="F865" i="83"/>
  <c r="F864" i="83"/>
  <c r="F863" i="83"/>
  <c r="F862" i="83"/>
  <c r="F860" i="83" s="1"/>
  <c r="F861" i="83"/>
  <c r="J860" i="83"/>
  <c r="I860" i="83"/>
  <c r="H860" i="83"/>
  <c r="G860" i="83"/>
  <c r="F859" i="83"/>
  <c r="F858" i="83"/>
  <c r="F857" i="83" s="1"/>
  <c r="J857" i="83"/>
  <c r="I857" i="83"/>
  <c r="H857" i="83"/>
  <c r="G857" i="83"/>
  <c r="G853" i="83" s="1"/>
  <c r="G852" i="83" s="1"/>
  <c r="F856" i="83"/>
  <c r="F855" i="83"/>
  <c r="J854" i="83"/>
  <c r="J853" i="83" s="1"/>
  <c r="J852" i="83" s="1"/>
  <c r="I854" i="83"/>
  <c r="H854" i="83"/>
  <c r="H853" i="83" s="1"/>
  <c r="H852" i="83" s="1"/>
  <c r="G854" i="83"/>
  <c r="F854" i="83"/>
  <c r="I853" i="83"/>
  <c r="I852" i="83" s="1"/>
  <c r="F851" i="83"/>
  <c r="F850" i="83"/>
  <c r="F849" i="83"/>
  <c r="F848" i="83"/>
  <c r="F847" i="83"/>
  <c r="F846" i="83"/>
  <c r="F845" i="83" s="1"/>
  <c r="J845" i="83"/>
  <c r="I845" i="83"/>
  <c r="H845" i="83"/>
  <c r="G845" i="83"/>
  <c r="G837" i="83" s="1"/>
  <c r="F844" i="83"/>
  <c r="F843" i="83"/>
  <c r="J842" i="83"/>
  <c r="J838" i="83" s="1"/>
  <c r="J837" i="83" s="1"/>
  <c r="I842" i="83"/>
  <c r="H842" i="83"/>
  <c r="G842" i="83"/>
  <c r="F842" i="83"/>
  <c r="F841" i="83"/>
  <c r="F840" i="83"/>
  <c r="F839" i="83" s="1"/>
  <c r="J839" i="83"/>
  <c r="I839" i="83"/>
  <c r="I838" i="83" s="1"/>
  <c r="I837" i="83" s="1"/>
  <c r="H839" i="83"/>
  <c r="G839" i="83"/>
  <c r="G838" i="83" s="1"/>
  <c r="H838" i="83"/>
  <c r="H837" i="83" s="1"/>
  <c r="F838" i="83"/>
  <c r="F836" i="83"/>
  <c r="F835" i="83"/>
  <c r="F834" i="83"/>
  <c r="F833" i="83"/>
  <c r="F832" i="83"/>
  <c r="F831" i="83"/>
  <c r="J830" i="83"/>
  <c r="J822" i="83" s="1"/>
  <c r="I830" i="83"/>
  <c r="H830" i="83"/>
  <c r="G830" i="83"/>
  <c r="F830" i="83"/>
  <c r="F829" i="83"/>
  <c r="F828" i="83"/>
  <c r="F827" i="83" s="1"/>
  <c r="J827" i="83"/>
  <c r="I827" i="83"/>
  <c r="I823" i="83" s="1"/>
  <c r="I822" i="83" s="1"/>
  <c r="H827" i="83"/>
  <c r="G827" i="83"/>
  <c r="F826" i="83"/>
  <c r="F824" i="83" s="1"/>
  <c r="F823" i="83" s="1"/>
  <c r="F825" i="83"/>
  <c r="J824" i="83"/>
  <c r="J823" i="83" s="1"/>
  <c r="I824" i="83"/>
  <c r="H824" i="83"/>
  <c r="H823" i="83" s="1"/>
  <c r="H822" i="83" s="1"/>
  <c r="G824" i="83"/>
  <c r="G823" i="83"/>
  <c r="G822" i="83" s="1"/>
  <c r="F822" i="83"/>
  <c r="F821" i="83"/>
  <c r="F820" i="83"/>
  <c r="F819" i="83"/>
  <c r="F818" i="83"/>
  <c r="F817" i="83"/>
  <c r="F816" i="83"/>
  <c r="J815" i="83"/>
  <c r="I815" i="83"/>
  <c r="I807" i="83" s="1"/>
  <c r="H815" i="83"/>
  <c r="G815" i="83"/>
  <c r="F814" i="83"/>
  <c r="F812" i="83" s="1"/>
  <c r="F813" i="83"/>
  <c r="J812" i="83"/>
  <c r="I812" i="83"/>
  <c r="H812" i="83"/>
  <c r="H808" i="83" s="1"/>
  <c r="H807" i="83" s="1"/>
  <c r="G812" i="83"/>
  <c r="F811" i="83"/>
  <c r="F810" i="83"/>
  <c r="F809" i="83" s="1"/>
  <c r="J809" i="83"/>
  <c r="I809" i="83"/>
  <c r="I808" i="83" s="1"/>
  <c r="H809" i="83"/>
  <c r="G809" i="83"/>
  <c r="G808" i="83" s="1"/>
  <c r="J808" i="83"/>
  <c r="J807" i="83" s="1"/>
  <c r="G807" i="83"/>
  <c r="F806" i="83"/>
  <c r="F805" i="83"/>
  <c r="F804" i="83"/>
  <c r="F803" i="83"/>
  <c r="F800" i="83" s="1"/>
  <c r="F802" i="83"/>
  <c r="F801" i="83"/>
  <c r="J800" i="83"/>
  <c r="I800" i="83"/>
  <c r="H800" i="83"/>
  <c r="G800" i="83"/>
  <c r="F799" i="83"/>
  <c r="F798" i="83"/>
  <c r="F797" i="83" s="1"/>
  <c r="J797" i="83"/>
  <c r="I797" i="83"/>
  <c r="H797" i="83"/>
  <c r="G797" i="83"/>
  <c r="F796" i="83"/>
  <c r="F795" i="83"/>
  <c r="F794" i="83" s="1"/>
  <c r="J794" i="83"/>
  <c r="J793" i="83" s="1"/>
  <c r="J792" i="83" s="1"/>
  <c r="I794" i="83"/>
  <c r="H794" i="83"/>
  <c r="G794" i="83"/>
  <c r="G793" i="83" s="1"/>
  <c r="G792" i="83" s="1"/>
  <c r="I793" i="83"/>
  <c r="H793" i="83"/>
  <c r="H792" i="83" s="1"/>
  <c r="I792" i="83"/>
  <c r="F791" i="83"/>
  <c r="F790" i="83"/>
  <c r="F789" i="83"/>
  <c r="F788" i="83"/>
  <c r="F787" i="83"/>
  <c r="F786" i="83"/>
  <c r="F785" i="83" s="1"/>
  <c r="J785" i="83"/>
  <c r="I785" i="83"/>
  <c r="H785" i="83"/>
  <c r="G785" i="83"/>
  <c r="F784" i="83"/>
  <c r="F783" i="83"/>
  <c r="F782" i="83" s="1"/>
  <c r="J782" i="83"/>
  <c r="I782" i="83"/>
  <c r="H782" i="83"/>
  <c r="G782" i="83"/>
  <c r="G778" i="83" s="1"/>
  <c r="G777" i="83" s="1"/>
  <c r="F781" i="83"/>
  <c r="F780" i="83"/>
  <c r="J779" i="83"/>
  <c r="J778" i="83" s="1"/>
  <c r="J777" i="83" s="1"/>
  <c r="I779" i="83"/>
  <c r="I778" i="83" s="1"/>
  <c r="I777" i="83" s="1"/>
  <c r="H779" i="83"/>
  <c r="G779" i="83"/>
  <c r="F779" i="83"/>
  <c r="H778" i="83"/>
  <c r="H777" i="83"/>
  <c r="F776" i="83"/>
  <c r="F775" i="83"/>
  <c r="F774" i="83"/>
  <c r="F773" i="83"/>
  <c r="F772" i="83"/>
  <c r="F771" i="83"/>
  <c r="F770" i="83" s="1"/>
  <c r="J770" i="83"/>
  <c r="I770" i="83"/>
  <c r="H770" i="83"/>
  <c r="G770" i="83"/>
  <c r="G762" i="83" s="1"/>
  <c r="F769" i="83"/>
  <c r="F768" i="83"/>
  <c r="J767" i="83"/>
  <c r="I767" i="83"/>
  <c r="H767" i="83"/>
  <c r="G767" i="83"/>
  <c r="F767" i="83"/>
  <c r="F763" i="83" s="1"/>
  <c r="F766" i="83"/>
  <c r="F765" i="83"/>
  <c r="J764" i="83"/>
  <c r="I764" i="83"/>
  <c r="I763" i="83" s="1"/>
  <c r="I762" i="83" s="1"/>
  <c r="H764" i="83"/>
  <c r="H763" i="83" s="1"/>
  <c r="H762" i="83" s="1"/>
  <c r="G764" i="83"/>
  <c r="F764" i="83"/>
  <c r="J763" i="83"/>
  <c r="J762" i="83" s="1"/>
  <c r="G763" i="83"/>
  <c r="F761" i="83"/>
  <c r="F760" i="83"/>
  <c r="F759" i="83"/>
  <c r="F758" i="83"/>
  <c r="F757" i="83"/>
  <c r="F756" i="83"/>
  <c r="J755" i="83"/>
  <c r="I755" i="83"/>
  <c r="H755" i="83"/>
  <c r="G755" i="83"/>
  <c r="F755" i="83"/>
  <c r="F754" i="83"/>
  <c r="F753" i="83"/>
  <c r="J752" i="83"/>
  <c r="I752" i="83"/>
  <c r="H752" i="83"/>
  <c r="G752" i="83"/>
  <c r="F752" i="83"/>
  <c r="F751" i="83"/>
  <c r="F750" i="83"/>
  <c r="F749" i="83" s="1"/>
  <c r="F748" i="83" s="1"/>
  <c r="J749" i="83"/>
  <c r="I749" i="83"/>
  <c r="H749" i="83"/>
  <c r="H748" i="83" s="1"/>
  <c r="H747" i="83" s="1"/>
  <c r="G749" i="83"/>
  <c r="G748" i="83" s="1"/>
  <c r="G747" i="83" s="1"/>
  <c r="J748" i="83"/>
  <c r="I748" i="83"/>
  <c r="I747" i="83" s="1"/>
  <c r="J747" i="83"/>
  <c r="F747" i="83"/>
  <c r="F744" i="83"/>
  <c r="F743" i="83"/>
  <c r="J742" i="83"/>
  <c r="I742" i="83"/>
  <c r="H742" i="83"/>
  <c r="G742" i="83"/>
  <c r="F742" i="83"/>
  <c r="F741" i="83"/>
  <c r="F740" i="83"/>
  <c r="F739" i="83"/>
  <c r="F738" i="83"/>
  <c r="F737" i="83"/>
  <c r="F736" i="83"/>
  <c r="F735" i="83"/>
  <c r="F734" i="83"/>
  <c r="F733" i="83" s="1"/>
  <c r="J733" i="83"/>
  <c r="I733" i="83"/>
  <c r="H733" i="83"/>
  <c r="G733" i="83"/>
  <c r="G722" i="83" s="1"/>
  <c r="G721" i="83" s="1"/>
  <c r="F732" i="83"/>
  <c r="F731" i="83"/>
  <c r="F730" i="83"/>
  <c r="F729" i="83"/>
  <c r="F728" i="83"/>
  <c r="F727" i="83"/>
  <c r="J726" i="83"/>
  <c r="I726" i="83"/>
  <c r="H726" i="83"/>
  <c r="G726" i="83"/>
  <c r="F726" i="83"/>
  <c r="F725" i="83"/>
  <c r="F724" i="83"/>
  <c r="J723" i="83"/>
  <c r="I723" i="83"/>
  <c r="I722" i="83" s="1"/>
  <c r="I721" i="83" s="1"/>
  <c r="H723" i="83"/>
  <c r="H722" i="83" s="1"/>
  <c r="H721" i="83" s="1"/>
  <c r="G723" i="83"/>
  <c r="F723" i="83"/>
  <c r="J722" i="83"/>
  <c r="F722" i="83"/>
  <c r="F721" i="83" s="1"/>
  <c r="F720" i="83"/>
  <c r="F719" i="83"/>
  <c r="J718" i="83"/>
  <c r="I718" i="83"/>
  <c r="H718" i="83"/>
  <c r="G718" i="83"/>
  <c r="F718" i="83"/>
  <c r="F717" i="83"/>
  <c r="F716" i="83"/>
  <c r="F715" i="83"/>
  <c r="F714" i="83"/>
  <c r="F711" i="83" s="1"/>
  <c r="F713" i="83"/>
  <c r="F712" i="83"/>
  <c r="J711" i="83"/>
  <c r="I711" i="83"/>
  <c r="I696" i="83" s="1"/>
  <c r="H711" i="83"/>
  <c r="G711" i="83"/>
  <c r="F710" i="83"/>
  <c r="F709" i="83"/>
  <c r="F708" i="83"/>
  <c r="F707" i="83"/>
  <c r="F706" i="83"/>
  <c r="F705" i="83"/>
  <c r="F704" i="83"/>
  <c r="F703" i="83"/>
  <c r="F702" i="83"/>
  <c r="F701" i="83"/>
  <c r="F700" i="83" s="1"/>
  <c r="J700" i="83"/>
  <c r="I700" i="83"/>
  <c r="H700" i="83"/>
  <c r="G700" i="83"/>
  <c r="F699" i="83"/>
  <c r="F698" i="83"/>
  <c r="F697" i="83" s="1"/>
  <c r="F696" i="83" s="1"/>
  <c r="F695" i="83" s="1"/>
  <c r="J697" i="83"/>
  <c r="J696" i="83" s="1"/>
  <c r="I697" i="83"/>
  <c r="H697" i="83"/>
  <c r="G697" i="83"/>
  <c r="G696" i="83" s="1"/>
  <c r="G695" i="83" s="1"/>
  <c r="H696" i="83"/>
  <c r="H695" i="83" s="1"/>
  <c r="I695" i="83"/>
  <c r="F694" i="83"/>
  <c r="F693" i="83"/>
  <c r="F692" i="83" s="1"/>
  <c r="J692" i="83"/>
  <c r="I692" i="83"/>
  <c r="H692" i="83"/>
  <c r="G692" i="83"/>
  <c r="F691" i="83"/>
  <c r="F690" i="83"/>
  <c r="F689" i="83"/>
  <c r="F688" i="83"/>
  <c r="F687" i="83"/>
  <c r="F686" i="83"/>
  <c r="F685" i="83"/>
  <c r="F684" i="83"/>
  <c r="F683" i="83"/>
  <c r="F682" i="83"/>
  <c r="F681" i="83"/>
  <c r="F680" i="83"/>
  <c r="F679" i="83"/>
  <c r="F678" i="83"/>
  <c r="F675" i="83" s="1"/>
  <c r="F677" i="83"/>
  <c r="F676" i="83"/>
  <c r="J675" i="83"/>
  <c r="I675" i="83"/>
  <c r="H675" i="83"/>
  <c r="G675" i="83"/>
  <c r="F674" i="83"/>
  <c r="F673" i="83"/>
  <c r="F672" i="83"/>
  <c r="F671" i="83"/>
  <c r="F670" i="83"/>
  <c r="F669" i="83"/>
  <c r="F668" i="83"/>
  <c r="F667" i="83"/>
  <c r="J666" i="83"/>
  <c r="J665" i="83" s="1"/>
  <c r="J664" i="83" s="1"/>
  <c r="I666" i="83"/>
  <c r="I665" i="83" s="1"/>
  <c r="I664" i="83" s="1"/>
  <c r="H666" i="83"/>
  <c r="G666" i="83"/>
  <c r="F666" i="83"/>
  <c r="H665" i="83"/>
  <c r="G665" i="83"/>
  <c r="G664" i="83" s="1"/>
  <c r="H664" i="83"/>
  <c r="F663" i="83"/>
  <c r="F662" i="83"/>
  <c r="F661" i="83" s="1"/>
  <c r="J661" i="83"/>
  <c r="I661" i="83"/>
  <c r="H661" i="83"/>
  <c r="G661" i="83"/>
  <c r="F660" i="83"/>
  <c r="F659" i="83"/>
  <c r="F658" i="83"/>
  <c r="F657" i="83"/>
  <c r="F656" i="83"/>
  <c r="F655" i="83"/>
  <c r="J654" i="83"/>
  <c r="J643" i="83" s="1"/>
  <c r="J642" i="83" s="1"/>
  <c r="I654" i="83"/>
  <c r="H654" i="83"/>
  <c r="G654" i="83"/>
  <c r="F654" i="83"/>
  <c r="F653" i="83"/>
  <c r="F652" i="83"/>
  <c r="F651" i="83"/>
  <c r="F650" i="83"/>
  <c r="F647" i="83" s="1"/>
  <c r="F649" i="83"/>
  <c r="F648" i="83"/>
  <c r="J647" i="83"/>
  <c r="I647" i="83"/>
  <c r="H647" i="83"/>
  <c r="G647" i="83"/>
  <c r="F646" i="83"/>
  <c r="F645" i="83"/>
  <c r="J644" i="83"/>
  <c r="I644" i="83"/>
  <c r="H644" i="83"/>
  <c r="H643" i="83" s="1"/>
  <c r="H642" i="83" s="1"/>
  <c r="G644" i="83"/>
  <c r="G643" i="83" s="1"/>
  <c r="I643" i="83"/>
  <c r="I642" i="83" s="1"/>
  <c r="F641" i="83"/>
  <c r="F640" i="83"/>
  <c r="F639" i="83"/>
  <c r="F638" i="83"/>
  <c r="F635" i="83" s="1"/>
  <c r="F637" i="83"/>
  <c r="F636" i="83"/>
  <c r="J635" i="83"/>
  <c r="I635" i="83"/>
  <c r="H635" i="83"/>
  <c r="G635" i="83"/>
  <c r="F634" i="83"/>
  <c r="F633" i="83"/>
  <c r="F632" i="83"/>
  <c r="F631" i="83"/>
  <c r="F630" i="83"/>
  <c r="F629" i="83"/>
  <c r="F628" i="83"/>
  <c r="F627" i="83"/>
  <c r="F626" i="83"/>
  <c r="F625" i="83"/>
  <c r="F624" i="83"/>
  <c r="F623" i="83"/>
  <c r="F622" i="83"/>
  <c r="F621" i="83"/>
  <c r="F620" i="83" s="1"/>
  <c r="J620" i="83"/>
  <c r="I620" i="83"/>
  <c r="H620" i="83"/>
  <c r="H605" i="83" s="1"/>
  <c r="G620" i="83"/>
  <c r="F619" i="83"/>
  <c r="F618" i="83"/>
  <c r="F617" i="83"/>
  <c r="F616" i="83"/>
  <c r="F615" i="83"/>
  <c r="F614" i="83"/>
  <c r="F611" i="83" s="1"/>
  <c r="F613" i="83"/>
  <c r="F612" i="83"/>
  <c r="J611" i="83"/>
  <c r="I611" i="83"/>
  <c r="H611" i="83"/>
  <c r="G611" i="83"/>
  <c r="F610" i="83"/>
  <c r="F609" i="83"/>
  <c r="F608" i="83"/>
  <c r="F607" i="83"/>
  <c r="J606" i="83"/>
  <c r="J605" i="83" s="1"/>
  <c r="J604" i="83" s="1"/>
  <c r="I606" i="83"/>
  <c r="I605" i="83" s="1"/>
  <c r="H606" i="83"/>
  <c r="G606" i="83"/>
  <c r="F606" i="83"/>
  <c r="G605" i="83"/>
  <c r="G604" i="83" s="1"/>
  <c r="H604" i="83"/>
  <c r="F603" i="83"/>
  <c r="F602" i="83"/>
  <c r="F601" i="83" s="1"/>
  <c r="J601" i="83"/>
  <c r="I601" i="83"/>
  <c r="H601" i="83"/>
  <c r="G601" i="83"/>
  <c r="F600" i="83"/>
  <c r="F599" i="83"/>
  <c r="F598" i="83"/>
  <c r="F597" i="83"/>
  <c r="F596" i="83"/>
  <c r="F595" i="83"/>
  <c r="F594" i="83"/>
  <c r="F593" i="83"/>
  <c r="J592" i="83"/>
  <c r="I592" i="83"/>
  <c r="H592" i="83"/>
  <c r="G592" i="83"/>
  <c r="F591" i="83"/>
  <c r="F590" i="83"/>
  <c r="F589" i="83"/>
  <c r="F588" i="83"/>
  <c r="F587" i="83"/>
  <c r="F586" i="83"/>
  <c r="F585" i="83" s="1"/>
  <c r="J585" i="83"/>
  <c r="I585" i="83"/>
  <c r="H585" i="83"/>
  <c r="G585" i="83"/>
  <c r="G582" i="83" s="1"/>
  <c r="F584" i="83"/>
  <c r="J583" i="83"/>
  <c r="I583" i="83"/>
  <c r="I582" i="83" s="1"/>
  <c r="I581" i="83" s="1"/>
  <c r="H583" i="83"/>
  <c r="G583" i="83"/>
  <c r="F583" i="83"/>
  <c r="J582" i="83"/>
  <c r="J581" i="83" s="1"/>
  <c r="G581" i="83"/>
  <c r="F580" i="83"/>
  <c r="F579" i="83"/>
  <c r="J578" i="83"/>
  <c r="I578" i="83"/>
  <c r="H578" i="83"/>
  <c r="G578" i="83"/>
  <c r="F578" i="83"/>
  <c r="F577" i="83"/>
  <c r="F576" i="83"/>
  <c r="F575" i="83"/>
  <c r="F574" i="83"/>
  <c r="F573" i="83"/>
  <c r="F572" i="83"/>
  <c r="F571" i="83"/>
  <c r="F570" i="83"/>
  <c r="F569" i="83" s="1"/>
  <c r="J569" i="83"/>
  <c r="I569" i="83"/>
  <c r="H569" i="83"/>
  <c r="G569" i="83"/>
  <c r="F568" i="83"/>
  <c r="F567" i="83"/>
  <c r="F566" i="83"/>
  <c r="F565" i="83"/>
  <c r="F564" i="83"/>
  <c r="F563" i="83"/>
  <c r="J562" i="83"/>
  <c r="J561" i="83" s="1"/>
  <c r="J560" i="83" s="1"/>
  <c r="I562" i="83"/>
  <c r="I561" i="83" s="1"/>
  <c r="H562" i="83"/>
  <c r="G562" i="83"/>
  <c r="F562" i="83"/>
  <c r="F561" i="83" s="1"/>
  <c r="F560" i="83" s="1"/>
  <c r="H561" i="83"/>
  <c r="G561" i="83"/>
  <c r="G560" i="83" s="1"/>
  <c r="I560" i="83"/>
  <c r="H560" i="83"/>
  <c r="F559" i="83"/>
  <c r="F558" i="83"/>
  <c r="F557" i="83" s="1"/>
  <c r="J557" i="83"/>
  <c r="I557" i="83"/>
  <c r="H557" i="83"/>
  <c r="G557" i="83"/>
  <c r="F556" i="83"/>
  <c r="F555" i="83"/>
  <c r="F554" i="83"/>
  <c r="F553" i="83"/>
  <c r="F552" i="83"/>
  <c r="F551" i="83"/>
  <c r="F550" i="83"/>
  <c r="F549" i="83"/>
  <c r="F548" i="83" s="1"/>
  <c r="J548" i="83"/>
  <c r="I548" i="83"/>
  <c r="H548" i="83"/>
  <c r="G548" i="83"/>
  <c r="F547" i="83"/>
  <c r="F546" i="83"/>
  <c r="F545" i="83"/>
  <c r="F544" i="83"/>
  <c r="F543" i="83"/>
  <c r="J542" i="83"/>
  <c r="J541" i="83" s="1"/>
  <c r="J540" i="83" s="1"/>
  <c r="I542" i="83"/>
  <c r="H542" i="83"/>
  <c r="G542" i="83"/>
  <c r="F542" i="83"/>
  <c r="H541" i="83"/>
  <c r="G541" i="83"/>
  <c r="G540" i="83" s="1"/>
  <c r="H540" i="83"/>
  <c r="F539" i="83"/>
  <c r="J538" i="83"/>
  <c r="I538" i="83"/>
  <c r="H538" i="83"/>
  <c r="G538" i="83"/>
  <c r="F538" i="83"/>
  <c r="F537" i="83"/>
  <c r="F536" i="83"/>
  <c r="F535" i="83"/>
  <c r="F534" i="83"/>
  <c r="F533" i="83"/>
  <c r="F532" i="83"/>
  <c r="F531" i="83"/>
  <c r="F530" i="83"/>
  <c r="F529" i="83"/>
  <c r="F528" i="83"/>
  <c r="F527" i="83"/>
  <c r="J526" i="83"/>
  <c r="J518" i="83" s="1"/>
  <c r="J517" i="83" s="1"/>
  <c r="I526" i="83"/>
  <c r="H526" i="83"/>
  <c r="G526" i="83"/>
  <c r="F526" i="83"/>
  <c r="F525" i="83"/>
  <c r="F524" i="83"/>
  <c r="F523" i="83"/>
  <c r="F522" i="83"/>
  <c r="F519" i="83" s="1"/>
  <c r="F518" i="83" s="1"/>
  <c r="F517" i="83" s="1"/>
  <c r="F521" i="83"/>
  <c r="F520" i="83"/>
  <c r="J519" i="83"/>
  <c r="I519" i="83"/>
  <c r="I518" i="83" s="1"/>
  <c r="I517" i="83" s="1"/>
  <c r="H519" i="83"/>
  <c r="H518" i="83" s="1"/>
  <c r="H517" i="83" s="1"/>
  <c r="G519" i="83"/>
  <c r="G518" i="83"/>
  <c r="G517" i="83"/>
  <c r="F516" i="83"/>
  <c r="F515" i="83"/>
  <c r="F514" i="83" s="1"/>
  <c r="J514" i="83"/>
  <c r="I514" i="83"/>
  <c r="H514" i="83"/>
  <c r="G514" i="83"/>
  <c r="F513" i="83"/>
  <c r="F512" i="83"/>
  <c r="F511" i="83"/>
  <c r="F510" i="83"/>
  <c r="F509" i="83"/>
  <c r="F508" i="83"/>
  <c r="F507" i="83"/>
  <c r="F506" i="83"/>
  <c r="J505" i="83"/>
  <c r="I505" i="83"/>
  <c r="H505" i="83"/>
  <c r="G505" i="83"/>
  <c r="F504" i="83"/>
  <c r="F503" i="83"/>
  <c r="F502" i="83"/>
  <c r="F501" i="83"/>
  <c r="F500" i="83"/>
  <c r="F499" i="83"/>
  <c r="F498" i="83"/>
  <c r="F497" i="83"/>
  <c r="J496" i="83"/>
  <c r="I496" i="83"/>
  <c r="H496" i="83"/>
  <c r="H495" i="83" s="1"/>
  <c r="H494" i="83" s="1"/>
  <c r="G496" i="83"/>
  <c r="G495" i="83" s="1"/>
  <c r="J495" i="83"/>
  <c r="J494" i="83" s="1"/>
  <c r="I495" i="83"/>
  <c r="I494" i="83" s="1"/>
  <c r="G494" i="83"/>
  <c r="F493" i="83"/>
  <c r="F492" i="83"/>
  <c r="J491" i="83"/>
  <c r="I491" i="83"/>
  <c r="H491" i="83"/>
  <c r="G491" i="83"/>
  <c r="F491" i="83"/>
  <c r="F490" i="83"/>
  <c r="F489" i="83"/>
  <c r="F488" i="83"/>
  <c r="F487" i="83"/>
  <c r="F486" i="83"/>
  <c r="F485" i="83"/>
  <c r="F484" i="83"/>
  <c r="F483" i="83"/>
  <c r="F482" i="83" s="1"/>
  <c r="J482" i="83"/>
  <c r="I482" i="83"/>
  <c r="H482" i="83"/>
  <c r="G482" i="83"/>
  <c r="F481" i="83"/>
  <c r="F480" i="83"/>
  <c r="F479" i="83"/>
  <c r="F478" i="83"/>
  <c r="F477" i="83"/>
  <c r="F476" i="83"/>
  <c r="F475" i="83"/>
  <c r="F474" i="83"/>
  <c r="J473" i="83"/>
  <c r="J472" i="83" s="1"/>
  <c r="I473" i="83"/>
  <c r="H473" i="83"/>
  <c r="H472" i="83" s="1"/>
  <c r="H471" i="83" s="1"/>
  <c r="G473" i="83"/>
  <c r="I472" i="83"/>
  <c r="I471" i="83" s="1"/>
  <c r="J471" i="83"/>
  <c r="F470" i="83"/>
  <c r="F469" i="83"/>
  <c r="F468" i="83" s="1"/>
  <c r="J468" i="83"/>
  <c r="I468" i="83"/>
  <c r="H468" i="83"/>
  <c r="G468" i="83"/>
  <c r="F467" i="83"/>
  <c r="F466" i="83"/>
  <c r="F465" i="83"/>
  <c r="F464" i="83"/>
  <c r="F463" i="83"/>
  <c r="F462" i="83"/>
  <c r="F459" i="83" s="1"/>
  <c r="F461" i="83"/>
  <c r="F460" i="83"/>
  <c r="J459" i="83"/>
  <c r="I459" i="83"/>
  <c r="I447" i="83" s="1"/>
  <c r="I446" i="83" s="1"/>
  <c r="H459" i="83"/>
  <c r="G459" i="83"/>
  <c r="F458" i="83"/>
  <c r="F457" i="83"/>
  <c r="F456" i="83"/>
  <c r="F455" i="83"/>
  <c r="F454" i="83"/>
  <c r="F453" i="83"/>
  <c r="F452" i="83"/>
  <c r="F451" i="83"/>
  <c r="F450" i="83"/>
  <c r="F449" i="83"/>
  <c r="J448" i="83"/>
  <c r="I448" i="83"/>
  <c r="H448" i="83"/>
  <c r="H447" i="83" s="1"/>
  <c r="H446" i="83" s="1"/>
  <c r="G448" i="83"/>
  <c r="G447" i="83" s="1"/>
  <c r="J447" i="83"/>
  <c r="J446" i="83" s="1"/>
  <c r="G446" i="83"/>
  <c r="F445" i="83"/>
  <c r="F444" i="83"/>
  <c r="F443" i="83"/>
  <c r="F442" i="83"/>
  <c r="F441" i="83"/>
  <c r="F440" i="83"/>
  <c r="J439" i="83"/>
  <c r="I439" i="83"/>
  <c r="H439" i="83"/>
  <c r="G439" i="83"/>
  <c r="F439" i="83"/>
  <c r="F438" i="83"/>
  <c r="F437" i="83"/>
  <c r="F436" i="83"/>
  <c r="J435" i="83"/>
  <c r="I435" i="83"/>
  <c r="H435" i="83"/>
  <c r="G435" i="83"/>
  <c r="F435" i="83"/>
  <c r="F434" i="83"/>
  <c r="F433" i="83"/>
  <c r="F432" i="83"/>
  <c r="J431" i="83"/>
  <c r="J430" i="83" s="1"/>
  <c r="J429" i="83" s="1"/>
  <c r="I431" i="83"/>
  <c r="I430" i="83" s="1"/>
  <c r="I429" i="83" s="1"/>
  <c r="H431" i="83"/>
  <c r="H430" i="83" s="1"/>
  <c r="G431" i="83"/>
  <c r="F431" i="83"/>
  <c r="F430" i="83" s="1"/>
  <c r="F429" i="83" s="1"/>
  <c r="G430" i="83"/>
  <c r="G429" i="83" s="1"/>
  <c r="H429" i="83"/>
  <c r="F428" i="83"/>
  <c r="F427" i="83"/>
  <c r="F426" i="83"/>
  <c r="F425" i="83" s="1"/>
  <c r="J425" i="83"/>
  <c r="I425" i="83"/>
  <c r="H425" i="83"/>
  <c r="G425" i="83"/>
  <c r="F424" i="83"/>
  <c r="F423" i="83"/>
  <c r="F422" i="83"/>
  <c r="J421" i="83"/>
  <c r="I421" i="83"/>
  <c r="H421" i="83"/>
  <c r="H416" i="83" s="1"/>
  <c r="H415" i="83" s="1"/>
  <c r="G421" i="83"/>
  <c r="F420" i="83"/>
  <c r="F419" i="83"/>
  <c r="F418" i="83"/>
  <c r="F417" i="83" s="1"/>
  <c r="J417" i="83"/>
  <c r="J416" i="83" s="1"/>
  <c r="I417" i="83"/>
  <c r="H417" i="83"/>
  <c r="G417" i="83"/>
  <c r="I416" i="83"/>
  <c r="I415" i="83" s="1"/>
  <c r="G416" i="83"/>
  <c r="J415" i="83"/>
  <c r="F414" i="83"/>
  <c r="F413" i="83"/>
  <c r="F412" i="83" s="1"/>
  <c r="J412" i="83"/>
  <c r="I412" i="83"/>
  <c r="H412" i="83"/>
  <c r="G412" i="83"/>
  <c r="F411" i="83"/>
  <c r="F410" i="83"/>
  <c r="F409" i="83"/>
  <c r="F408" i="83"/>
  <c r="F407" i="83"/>
  <c r="F406" i="83"/>
  <c r="F405" i="83"/>
  <c r="F404" i="83"/>
  <c r="F403" i="83"/>
  <c r="F402" i="83"/>
  <c r="F401" i="83"/>
  <c r="F400" i="83"/>
  <c r="F399" i="83"/>
  <c r="F398" i="83"/>
  <c r="F397" i="83"/>
  <c r="F396" i="83"/>
  <c r="F395" i="83"/>
  <c r="J394" i="83"/>
  <c r="I394" i="83"/>
  <c r="H394" i="83"/>
  <c r="G394" i="83"/>
  <c r="F394" i="83"/>
  <c r="F393" i="83"/>
  <c r="F392" i="83"/>
  <c r="F391" i="83"/>
  <c r="F390" i="83"/>
  <c r="F389" i="83"/>
  <c r="F388" i="83"/>
  <c r="F387" i="83"/>
  <c r="F386" i="83"/>
  <c r="F385" i="83"/>
  <c r="F384" i="83"/>
  <c r="F383" i="83" s="1"/>
  <c r="F382" i="83" s="1"/>
  <c r="F381" i="83" s="1"/>
  <c r="J383" i="83"/>
  <c r="I383" i="83"/>
  <c r="I382" i="83" s="1"/>
  <c r="H383" i="83"/>
  <c r="G383" i="83"/>
  <c r="G382" i="83" s="1"/>
  <c r="G381" i="83" s="1"/>
  <c r="J382" i="83"/>
  <c r="J381" i="83" s="1"/>
  <c r="H382" i="83"/>
  <c r="H381" i="83" s="1"/>
  <c r="I381" i="83"/>
  <c r="F380" i="83"/>
  <c r="F378" i="83" s="1"/>
  <c r="F379" i="83"/>
  <c r="J378" i="83"/>
  <c r="I378" i="83"/>
  <c r="H378" i="83"/>
  <c r="G378" i="83"/>
  <c r="F377" i="83"/>
  <c r="F376" i="83"/>
  <c r="F375" i="83"/>
  <c r="F374" i="83"/>
  <c r="F373" i="83"/>
  <c r="F372" i="83"/>
  <c r="F371" i="83"/>
  <c r="F370" i="83"/>
  <c r="F369" i="83"/>
  <c r="F368" i="83"/>
  <c r="F367" i="83"/>
  <c r="F366" i="83"/>
  <c r="F365" i="83"/>
  <c r="F364" i="83"/>
  <c r="F363" i="83"/>
  <c r="F362" i="83"/>
  <c r="F361" i="83"/>
  <c r="F360" i="83"/>
  <c r="F358" i="83" s="1"/>
  <c r="F359" i="83"/>
  <c r="J358" i="83"/>
  <c r="I358" i="83"/>
  <c r="H358" i="83"/>
  <c r="G358" i="83"/>
  <c r="F357" i="83"/>
  <c r="F356" i="83"/>
  <c r="F355" i="83"/>
  <c r="F354" i="83"/>
  <c r="F353" i="83"/>
  <c r="F352" i="83"/>
  <c r="F351" i="83"/>
  <c r="F350" i="83"/>
  <c r="F349" i="83"/>
  <c r="F348" i="83"/>
  <c r="F347" i="83" s="1"/>
  <c r="J347" i="83"/>
  <c r="I347" i="83"/>
  <c r="H347" i="83"/>
  <c r="G347" i="83"/>
  <c r="G341" i="83" s="1"/>
  <c r="G340" i="83" s="1"/>
  <c r="F346" i="83"/>
  <c r="F345" i="83"/>
  <c r="F344" i="83"/>
  <c r="F342" i="83" s="1"/>
  <c r="F343" i="83"/>
  <c r="J342" i="83"/>
  <c r="J341" i="83" s="1"/>
  <c r="J340" i="83" s="1"/>
  <c r="I342" i="83"/>
  <c r="H342" i="83"/>
  <c r="G342" i="83"/>
  <c r="I341" i="83"/>
  <c r="I340" i="83" s="1"/>
  <c r="F339" i="83"/>
  <c r="F338" i="83"/>
  <c r="F337" i="83"/>
  <c r="J336" i="83"/>
  <c r="I336" i="83"/>
  <c r="H336" i="83"/>
  <c r="G336" i="83"/>
  <c r="F336" i="83"/>
  <c r="G335" i="83"/>
  <c r="G333" i="83" s="1"/>
  <c r="F335" i="83"/>
  <c r="F334" i="83"/>
  <c r="J333" i="83"/>
  <c r="I333" i="83"/>
  <c r="H333" i="83"/>
  <c r="F333" i="83"/>
  <c r="F332" i="83"/>
  <c r="F331" i="83"/>
  <c r="F330" i="83" s="1"/>
  <c r="F329" i="83" s="1"/>
  <c r="F328" i="83" s="1"/>
  <c r="J330" i="83"/>
  <c r="I330" i="83"/>
  <c r="I329" i="83" s="1"/>
  <c r="I328" i="83" s="1"/>
  <c r="H330" i="83"/>
  <c r="G330" i="83"/>
  <c r="G329" i="83" s="1"/>
  <c r="J329" i="83"/>
  <c r="J328" i="83" s="1"/>
  <c r="H329" i="83"/>
  <c r="H328" i="83" s="1"/>
  <c r="G328" i="83"/>
  <c r="F327" i="83"/>
  <c r="F326" i="83"/>
  <c r="J325" i="83"/>
  <c r="I325" i="83"/>
  <c r="H325" i="83"/>
  <c r="G325" i="83"/>
  <c r="F325" i="83"/>
  <c r="G324" i="83"/>
  <c r="G322" i="83" s="1"/>
  <c r="F324" i="83"/>
  <c r="F323" i="83"/>
  <c r="J322" i="83"/>
  <c r="I322" i="83"/>
  <c r="H322" i="83"/>
  <c r="F322" i="83"/>
  <c r="F321" i="83"/>
  <c r="F320" i="83"/>
  <c r="F319" i="83" s="1"/>
  <c r="F318" i="83" s="1"/>
  <c r="F317" i="83" s="1"/>
  <c r="J319" i="83"/>
  <c r="I319" i="83"/>
  <c r="I318" i="83" s="1"/>
  <c r="I317" i="83" s="1"/>
  <c r="H319" i="83"/>
  <c r="G319" i="83"/>
  <c r="G318" i="83" s="1"/>
  <c r="J318" i="83"/>
  <c r="J317" i="83" s="1"/>
  <c r="H318" i="83"/>
  <c r="H317" i="83" s="1"/>
  <c r="G317" i="83"/>
  <c r="F316" i="83"/>
  <c r="F315" i="83"/>
  <c r="J314" i="83"/>
  <c r="I314" i="83"/>
  <c r="H314" i="83"/>
  <c r="G314" i="83"/>
  <c r="F314" i="83"/>
  <c r="F313" i="83"/>
  <c r="F312" i="83"/>
  <c r="F311" i="83"/>
  <c r="F310" i="83"/>
  <c r="F309" i="83"/>
  <c r="F308" i="83"/>
  <c r="F307" i="83"/>
  <c r="F306" i="83"/>
  <c r="F305" i="83"/>
  <c r="F304" i="83"/>
  <c r="F303" i="83" s="1"/>
  <c r="J303" i="83"/>
  <c r="I303" i="83"/>
  <c r="H303" i="83"/>
  <c r="G303" i="83"/>
  <c r="F302" i="83"/>
  <c r="F301" i="83"/>
  <c r="F300" i="83"/>
  <c r="F299" i="83"/>
  <c r="F298" i="83"/>
  <c r="F296" i="83" s="1"/>
  <c r="F297" i="83"/>
  <c r="J296" i="83"/>
  <c r="J295" i="83" s="1"/>
  <c r="I296" i="83"/>
  <c r="H296" i="83"/>
  <c r="H295" i="83" s="1"/>
  <c r="H294" i="83" s="1"/>
  <c r="G296" i="83"/>
  <c r="I295" i="83"/>
  <c r="I294" i="83" s="1"/>
  <c r="G295" i="83"/>
  <c r="G294" i="83" s="1"/>
  <c r="J294" i="83"/>
  <c r="F293" i="83"/>
  <c r="F292" i="83"/>
  <c r="F291" i="83" s="1"/>
  <c r="J291" i="83"/>
  <c r="I291" i="83"/>
  <c r="H291" i="83"/>
  <c r="G291" i="83"/>
  <c r="F290" i="83"/>
  <c r="F289" i="83"/>
  <c r="F288" i="83"/>
  <c r="F287" i="83"/>
  <c r="F286" i="83"/>
  <c r="F285" i="83"/>
  <c r="F284" i="83"/>
  <c r="F283" i="83"/>
  <c r="F282" i="83"/>
  <c r="F280" i="83" s="1"/>
  <c r="F281" i="83"/>
  <c r="J280" i="83"/>
  <c r="I280" i="83"/>
  <c r="H280" i="83"/>
  <c r="H272" i="83" s="1"/>
  <c r="H271" i="83" s="1"/>
  <c r="G280" i="83"/>
  <c r="F279" i="83"/>
  <c r="F278" i="83"/>
  <c r="F277" i="83"/>
  <c r="F276" i="83"/>
  <c r="F275" i="83"/>
  <c r="F274" i="83"/>
  <c r="F273" i="83" s="1"/>
  <c r="F272" i="83" s="1"/>
  <c r="F271" i="83" s="1"/>
  <c r="J273" i="83"/>
  <c r="I273" i="83"/>
  <c r="I272" i="83" s="1"/>
  <c r="H273" i="83"/>
  <c r="G273" i="83"/>
  <c r="G272" i="83" s="1"/>
  <c r="G271" i="83" s="1"/>
  <c r="J272" i="83"/>
  <c r="J271" i="83" s="1"/>
  <c r="I271" i="83"/>
  <c r="F270" i="83"/>
  <c r="F268" i="83" s="1"/>
  <c r="F269" i="83"/>
  <c r="J268" i="83"/>
  <c r="I268" i="83"/>
  <c r="H268" i="83"/>
  <c r="G268" i="83"/>
  <c r="F267" i="83"/>
  <c r="F266" i="83"/>
  <c r="F265" i="83"/>
  <c r="F264" i="83"/>
  <c r="F263" i="83"/>
  <c r="F262" i="83"/>
  <c r="F261" i="83"/>
  <c r="F260" i="83"/>
  <c r="F259" i="83"/>
  <c r="F258" i="83"/>
  <c r="F257" i="83" s="1"/>
  <c r="J257" i="83"/>
  <c r="I257" i="83"/>
  <c r="H257" i="83"/>
  <c r="G257" i="83"/>
  <c r="F256" i="83"/>
  <c r="F255" i="83"/>
  <c r="F254" i="83"/>
  <c r="F253" i="83"/>
  <c r="F252" i="83"/>
  <c r="F251" i="83"/>
  <c r="J250" i="83"/>
  <c r="J249" i="83" s="1"/>
  <c r="J248" i="83" s="1"/>
  <c r="I250" i="83"/>
  <c r="H250" i="83"/>
  <c r="H249" i="83" s="1"/>
  <c r="H248" i="83" s="1"/>
  <c r="G250" i="83"/>
  <c r="F250" i="83"/>
  <c r="I249" i="83"/>
  <c r="I248" i="83" s="1"/>
  <c r="G249" i="83"/>
  <c r="G248" i="83" s="1"/>
  <c r="F247" i="83"/>
  <c r="F246" i="83"/>
  <c r="F245" i="83" s="1"/>
  <c r="J245" i="83"/>
  <c r="I245" i="83"/>
  <c r="H245" i="83"/>
  <c r="G245" i="83"/>
  <c r="F244" i="83"/>
  <c r="F243" i="83"/>
  <c r="F242" i="83"/>
  <c r="F241" i="83"/>
  <c r="F240" i="83"/>
  <c r="F239" i="83"/>
  <c r="F238" i="83"/>
  <c r="F237" i="83"/>
  <c r="F236" i="83"/>
  <c r="F235" i="83"/>
  <c r="J234" i="83"/>
  <c r="I234" i="83"/>
  <c r="H234" i="83"/>
  <c r="G234" i="83"/>
  <c r="F234" i="83"/>
  <c r="F233" i="83"/>
  <c r="F232" i="83"/>
  <c r="F231" i="83"/>
  <c r="F230" i="83"/>
  <c r="F229" i="83"/>
  <c r="F228" i="83"/>
  <c r="F227" i="83" s="1"/>
  <c r="F226" i="83" s="1"/>
  <c r="F225" i="83" s="1"/>
  <c r="J227" i="83"/>
  <c r="I227" i="83"/>
  <c r="I226" i="83" s="1"/>
  <c r="I225" i="83" s="1"/>
  <c r="H227" i="83"/>
  <c r="H226" i="83" s="1"/>
  <c r="H225" i="83" s="1"/>
  <c r="G227" i="83"/>
  <c r="G226" i="83" s="1"/>
  <c r="G225" i="83" s="1"/>
  <c r="J226" i="83"/>
  <c r="J225" i="83" s="1"/>
  <c r="F224" i="83"/>
  <c r="F223" i="83"/>
  <c r="J222" i="83"/>
  <c r="I222" i="83"/>
  <c r="H222" i="83"/>
  <c r="G222" i="83"/>
  <c r="F222" i="83"/>
  <c r="F221" i="83"/>
  <c r="F220" i="83"/>
  <c r="F219" i="83"/>
  <c r="F218" i="83"/>
  <c r="F217" i="83"/>
  <c r="F216" i="83"/>
  <c r="F215" i="83"/>
  <c r="F214" i="83"/>
  <c r="F213" i="83" s="1"/>
  <c r="J213" i="83"/>
  <c r="I213" i="83"/>
  <c r="H213" i="83"/>
  <c r="G213" i="83"/>
  <c r="F212" i="83"/>
  <c r="F211" i="83"/>
  <c r="F210" i="83"/>
  <c r="F209" i="83"/>
  <c r="J208" i="83"/>
  <c r="J207" i="83" s="1"/>
  <c r="I208" i="83"/>
  <c r="H208" i="83"/>
  <c r="H207" i="83" s="1"/>
  <c r="H206" i="83" s="1"/>
  <c r="G208" i="83"/>
  <c r="G207" i="83" s="1"/>
  <c r="G206" i="83" s="1"/>
  <c r="I207" i="83"/>
  <c r="I206" i="83" s="1"/>
  <c r="J206" i="83"/>
  <c r="F205" i="83"/>
  <c r="F204" i="83"/>
  <c r="G203" i="83"/>
  <c r="F203" i="83"/>
  <c r="F202" i="83" s="1"/>
  <c r="J202" i="83"/>
  <c r="I202" i="83"/>
  <c r="H202" i="83"/>
  <c r="G202" i="83"/>
  <c r="F201" i="83"/>
  <c r="F200" i="83"/>
  <c r="F199" i="83"/>
  <c r="F198" i="83" s="1"/>
  <c r="J198" i="83"/>
  <c r="I198" i="83"/>
  <c r="H198" i="83"/>
  <c r="G198" i="83"/>
  <c r="F197" i="83"/>
  <c r="F196" i="83"/>
  <c r="F195" i="83"/>
  <c r="F194" i="83" s="1"/>
  <c r="J194" i="83"/>
  <c r="J193" i="83" s="1"/>
  <c r="J192" i="83" s="1"/>
  <c r="I194" i="83"/>
  <c r="I193" i="83" s="1"/>
  <c r="H194" i="83"/>
  <c r="G194" i="83"/>
  <c r="H193" i="83"/>
  <c r="H192" i="83" s="1"/>
  <c r="I192" i="83"/>
  <c r="F191" i="83"/>
  <c r="F190" i="83" s="1"/>
  <c r="J190" i="83"/>
  <c r="I190" i="83"/>
  <c r="H190" i="83"/>
  <c r="G190" i="83"/>
  <c r="F189" i="83"/>
  <c r="F188" i="83"/>
  <c r="F187" i="83"/>
  <c r="F186" i="83"/>
  <c r="F185" i="83"/>
  <c r="F184" i="83"/>
  <c r="F183" i="83"/>
  <c r="F182" i="83"/>
  <c r="J181" i="83"/>
  <c r="I181" i="83"/>
  <c r="H181" i="83"/>
  <c r="G181" i="83"/>
  <c r="F180" i="83"/>
  <c r="F179" i="83"/>
  <c r="F178" i="83"/>
  <c r="F177" i="83"/>
  <c r="J176" i="83"/>
  <c r="I176" i="83"/>
  <c r="I175" i="83" s="1"/>
  <c r="I174" i="83" s="1"/>
  <c r="H176" i="83"/>
  <c r="H175" i="83" s="1"/>
  <c r="H174" i="83" s="1"/>
  <c r="G176" i="83"/>
  <c r="G175" i="83" s="1"/>
  <c r="J175" i="83"/>
  <c r="J174" i="83" s="1"/>
  <c r="G174" i="83"/>
  <c r="F173" i="83"/>
  <c r="F172" i="83"/>
  <c r="F171" i="83"/>
  <c r="F170" i="83"/>
  <c r="F169" i="83"/>
  <c r="J168" i="83"/>
  <c r="I168" i="83"/>
  <c r="H168" i="83"/>
  <c r="G168" i="83"/>
  <c r="F167" i="83"/>
  <c r="F166" i="83" s="1"/>
  <c r="J166" i="83"/>
  <c r="I166" i="83"/>
  <c r="H166" i="83"/>
  <c r="G166" i="83"/>
  <c r="F165" i="83"/>
  <c r="F164" i="83" s="1"/>
  <c r="F163" i="83" s="1"/>
  <c r="J164" i="83"/>
  <c r="I164" i="83"/>
  <c r="I163" i="83" s="1"/>
  <c r="H164" i="83"/>
  <c r="H163" i="83" s="1"/>
  <c r="H162" i="83" s="1"/>
  <c r="G164" i="83"/>
  <c r="G163" i="83" s="1"/>
  <c r="G162" i="83" s="1"/>
  <c r="J163" i="83"/>
  <c r="J162" i="83" s="1"/>
  <c r="F161" i="83"/>
  <c r="F160" i="83"/>
  <c r="F159" i="83"/>
  <c r="F158" i="83" s="1"/>
  <c r="J158" i="83"/>
  <c r="I158" i="83"/>
  <c r="H158" i="83"/>
  <c r="G158" i="83"/>
  <c r="F157" i="83"/>
  <c r="F156" i="83"/>
  <c r="F155" i="83"/>
  <c r="F154" i="83" s="1"/>
  <c r="J154" i="83"/>
  <c r="I154" i="83"/>
  <c r="H154" i="83"/>
  <c r="G154" i="83"/>
  <c r="F153" i="83"/>
  <c r="F152" i="83"/>
  <c r="F151" i="83"/>
  <c r="F150" i="83"/>
  <c r="J149" i="83"/>
  <c r="I149" i="83"/>
  <c r="H149" i="83"/>
  <c r="G149" i="83"/>
  <c r="F148" i="83"/>
  <c r="J147" i="83"/>
  <c r="I147" i="83"/>
  <c r="H147" i="83"/>
  <c r="G147" i="83"/>
  <c r="F147" i="83"/>
  <c r="F146" i="83"/>
  <c r="F145" i="83" s="1"/>
  <c r="J145" i="83"/>
  <c r="J144" i="83" s="1"/>
  <c r="J143" i="83" s="1"/>
  <c r="I145" i="83"/>
  <c r="H145" i="83"/>
  <c r="G145" i="83"/>
  <c r="G144" i="83" s="1"/>
  <c r="G143" i="83" s="1"/>
  <c r="I144" i="83"/>
  <c r="I143" i="83" s="1"/>
  <c r="F142" i="83"/>
  <c r="F141" i="83"/>
  <c r="F140" i="83" s="1"/>
  <c r="J140" i="83"/>
  <c r="I140" i="83"/>
  <c r="H140" i="83"/>
  <c r="G140" i="83"/>
  <c r="F139" i="83"/>
  <c r="F138" i="83"/>
  <c r="F137" i="83"/>
  <c r="F136" i="83"/>
  <c r="J135" i="83"/>
  <c r="I135" i="83"/>
  <c r="H135" i="83"/>
  <c r="G135" i="83"/>
  <c r="F135" i="83"/>
  <c r="F134" i="83"/>
  <c r="F133" i="83"/>
  <c r="F132" i="83" s="1"/>
  <c r="F131" i="83" s="1"/>
  <c r="F130" i="83" s="1"/>
  <c r="J132" i="83"/>
  <c r="I132" i="83"/>
  <c r="I131" i="83" s="1"/>
  <c r="H132" i="83"/>
  <c r="H131" i="83" s="1"/>
  <c r="H130" i="83" s="1"/>
  <c r="G132" i="83"/>
  <c r="G131" i="83" s="1"/>
  <c r="G130" i="83" s="1"/>
  <c r="J131" i="83"/>
  <c r="J130" i="83" s="1"/>
  <c r="F129" i="83"/>
  <c r="F128" i="83"/>
  <c r="J127" i="83"/>
  <c r="I127" i="83"/>
  <c r="H127" i="83"/>
  <c r="G127" i="83"/>
  <c r="F127" i="83"/>
  <c r="F126" i="83"/>
  <c r="F125" i="83"/>
  <c r="F124" i="83" s="1"/>
  <c r="J124" i="83"/>
  <c r="I124" i="83"/>
  <c r="H124" i="83"/>
  <c r="G124" i="83"/>
  <c r="F123" i="83"/>
  <c r="F122" i="83"/>
  <c r="F121" i="83"/>
  <c r="J120" i="83"/>
  <c r="I120" i="83"/>
  <c r="I119" i="83" s="1"/>
  <c r="I118" i="83" s="1"/>
  <c r="H120" i="83"/>
  <c r="H119" i="83" s="1"/>
  <c r="H118" i="83" s="1"/>
  <c r="G120" i="83"/>
  <c r="G119" i="83" s="1"/>
  <c r="G118" i="83" s="1"/>
  <c r="J119" i="83"/>
  <c r="J118" i="83" s="1"/>
  <c r="F117" i="83"/>
  <c r="F116" i="83"/>
  <c r="J115" i="83"/>
  <c r="J79" i="83" s="1"/>
  <c r="I115" i="83"/>
  <c r="H115" i="83"/>
  <c r="G115" i="83"/>
  <c r="F115" i="83"/>
  <c r="F114" i="83"/>
  <c r="F113" i="83"/>
  <c r="F112" i="83"/>
  <c r="F111" i="83"/>
  <c r="F110" i="83"/>
  <c r="F109" i="83"/>
  <c r="F108" i="83"/>
  <c r="F107" i="83"/>
  <c r="F106" i="83"/>
  <c r="F105" i="83"/>
  <c r="F104" i="83"/>
  <c r="F103" i="83"/>
  <c r="F102" i="83"/>
  <c r="F101" i="83"/>
  <c r="F100" i="83"/>
  <c r="F99" i="83"/>
  <c r="F98" i="83"/>
  <c r="F97" i="83"/>
  <c r="F96" i="83"/>
  <c r="F95" i="83"/>
  <c r="F94" i="83"/>
  <c r="F93" i="83"/>
  <c r="F92" i="83"/>
  <c r="F91" i="83"/>
  <c r="F90" i="83"/>
  <c r="F89" i="83"/>
  <c r="J88" i="83"/>
  <c r="I88" i="83"/>
  <c r="I80" i="83" s="1"/>
  <c r="I79" i="83" s="1"/>
  <c r="H88" i="83"/>
  <c r="G88" i="83"/>
  <c r="F87" i="83"/>
  <c r="F86" i="83"/>
  <c r="F85" i="83"/>
  <c r="F84" i="83"/>
  <c r="F83" i="83"/>
  <c r="F82" i="83"/>
  <c r="J81" i="83"/>
  <c r="J80" i="83" s="1"/>
  <c r="I81" i="83"/>
  <c r="H81" i="83"/>
  <c r="H80" i="83" s="1"/>
  <c r="H79" i="83" s="1"/>
  <c r="G81" i="83"/>
  <c r="G80" i="83" s="1"/>
  <c r="G79" i="83" s="1"/>
  <c r="F78" i="83"/>
  <c r="F77" i="83" s="1"/>
  <c r="J77" i="83"/>
  <c r="I77" i="83"/>
  <c r="H77" i="83"/>
  <c r="G77" i="83"/>
  <c r="F76" i="83"/>
  <c r="F75" i="83"/>
  <c r="J74" i="83"/>
  <c r="I74" i="83"/>
  <c r="H74" i="83"/>
  <c r="G74" i="83"/>
  <c r="F74" i="83"/>
  <c r="F73" i="83"/>
  <c r="F72" i="83"/>
  <c r="F71" i="83"/>
  <c r="F70" i="83"/>
  <c r="F69" i="83"/>
  <c r="F68" i="83"/>
  <c r="F67" i="83"/>
  <c r="F66" i="83"/>
  <c r="F65" i="83" s="1"/>
  <c r="F64" i="83" s="1"/>
  <c r="F63" i="83" s="1"/>
  <c r="J65" i="83"/>
  <c r="I65" i="83"/>
  <c r="H65" i="83"/>
  <c r="H64" i="83" s="1"/>
  <c r="H63" i="83" s="1"/>
  <c r="G65" i="83"/>
  <c r="G64" i="83" s="1"/>
  <c r="G63" i="83" s="1"/>
  <c r="I64" i="83"/>
  <c r="I63" i="83"/>
  <c r="F62" i="83"/>
  <c r="F61" i="83" s="1"/>
  <c r="J61" i="83"/>
  <c r="I61" i="83"/>
  <c r="H61" i="83"/>
  <c r="G61" i="83"/>
  <c r="F60" i="83"/>
  <c r="F59" i="83"/>
  <c r="F58" i="83"/>
  <c r="F57" i="83"/>
  <c r="J56" i="83"/>
  <c r="I56" i="83"/>
  <c r="I51" i="83" s="1"/>
  <c r="I50" i="83" s="1"/>
  <c r="H56" i="83"/>
  <c r="G56" i="83"/>
  <c r="F55" i="83"/>
  <c r="F54" i="83"/>
  <c r="F53" i="83"/>
  <c r="J52" i="83"/>
  <c r="I52" i="83"/>
  <c r="H52" i="83"/>
  <c r="G52" i="83"/>
  <c r="G51" i="83" s="1"/>
  <c r="J51" i="83"/>
  <c r="H51" i="83"/>
  <c r="H50" i="83" s="1"/>
  <c r="J50" i="83"/>
  <c r="G50" i="83"/>
  <c r="F49" i="83"/>
  <c r="F48" i="83"/>
  <c r="J47" i="83"/>
  <c r="I47" i="83"/>
  <c r="H47" i="83"/>
  <c r="G47" i="83"/>
  <c r="F47" i="83"/>
  <c r="F46" i="83"/>
  <c r="F45" i="83"/>
  <c r="F44" i="83"/>
  <c r="F43" i="83"/>
  <c r="F42" i="83"/>
  <c r="F41" i="83"/>
  <c r="F40" i="83"/>
  <c r="F39" i="83"/>
  <c r="F38" i="83" s="1"/>
  <c r="J38" i="83"/>
  <c r="J32" i="83" s="1"/>
  <c r="J31" i="83" s="1"/>
  <c r="I38" i="83"/>
  <c r="H38" i="83"/>
  <c r="G38" i="83"/>
  <c r="F37" i="83"/>
  <c r="F36" i="83"/>
  <c r="F35" i="83"/>
  <c r="F34" i="83"/>
  <c r="F33" i="83" s="1"/>
  <c r="F32" i="83" s="1"/>
  <c r="F31" i="83" s="1"/>
  <c r="J33" i="83"/>
  <c r="I33" i="83"/>
  <c r="H33" i="83"/>
  <c r="H32" i="83" s="1"/>
  <c r="H31" i="83" s="1"/>
  <c r="G33" i="83"/>
  <c r="G32" i="83" s="1"/>
  <c r="G31" i="83" s="1"/>
  <c r="I32" i="83"/>
  <c r="I31" i="83" s="1"/>
  <c r="F30" i="83"/>
  <c r="F29" i="83"/>
  <c r="F28" i="83"/>
  <c r="J27" i="83"/>
  <c r="I27" i="83"/>
  <c r="H27" i="83"/>
  <c r="G27" i="83"/>
  <c r="F27" i="83"/>
  <c r="F26" i="83"/>
  <c r="F25" i="83"/>
  <c r="F24" i="83"/>
  <c r="J23" i="83"/>
  <c r="J22" i="83" s="1"/>
  <c r="I23" i="83"/>
  <c r="I22" i="83" s="1"/>
  <c r="H23" i="83"/>
  <c r="G23" i="83"/>
  <c r="F23" i="83"/>
  <c r="F22" i="83" s="1"/>
  <c r="H22" i="83"/>
  <c r="G22" i="83"/>
  <c r="F21" i="83"/>
  <c r="F20" i="83"/>
  <c r="F19" i="83"/>
  <c r="F18" i="83"/>
  <c r="F17" i="83"/>
  <c r="F16" i="83"/>
  <c r="J15" i="83"/>
  <c r="I15" i="83"/>
  <c r="H15" i="83"/>
  <c r="G15" i="83"/>
  <c r="F15" i="83"/>
  <c r="F14" i="83"/>
  <c r="F13" i="83"/>
  <c r="F12" i="83"/>
  <c r="J11" i="83"/>
  <c r="J10" i="83" s="1"/>
  <c r="I11" i="83"/>
  <c r="I10" i="83" s="1"/>
  <c r="H11" i="83"/>
  <c r="G11" i="83"/>
  <c r="F11" i="83"/>
  <c r="F10" i="83" s="1"/>
  <c r="H10" i="83"/>
  <c r="G10" i="83"/>
  <c r="F88" i="83" l="1"/>
  <c r="F120" i="83"/>
  <c r="F119" i="83" s="1"/>
  <c r="F118" i="83" s="1"/>
  <c r="H144" i="83"/>
  <c r="H143" i="83" s="1"/>
  <c r="H8" i="83" s="1"/>
  <c r="H1344" i="83" s="1"/>
  <c r="G193" i="83"/>
  <c r="G192" i="83" s="1"/>
  <c r="G8" i="83" s="1"/>
  <c r="G1344" i="83" s="1"/>
  <c r="F193" i="83"/>
  <c r="F192" i="83" s="1"/>
  <c r="G745" i="83"/>
  <c r="F56" i="83"/>
  <c r="I130" i="83"/>
  <c r="I8" i="83" s="1"/>
  <c r="I1344" i="83" s="1"/>
  <c r="I162" i="83"/>
  <c r="F168" i="83"/>
  <c r="F162" i="83" s="1"/>
  <c r="F176" i="83"/>
  <c r="F175" i="83" s="1"/>
  <c r="F174" i="83" s="1"/>
  <c r="F181" i="83"/>
  <c r="F208" i="83"/>
  <c r="F207" i="83" s="1"/>
  <c r="F206" i="83" s="1"/>
  <c r="F249" i="83"/>
  <c r="F248" i="83" s="1"/>
  <c r="H341" i="83"/>
  <c r="H340" i="83" s="1"/>
  <c r="F341" i="83"/>
  <c r="F340" i="83" s="1"/>
  <c r="F762" i="83"/>
  <c r="F52" i="83"/>
  <c r="J64" i="83"/>
  <c r="J63" i="83" s="1"/>
  <c r="J8" i="83" s="1"/>
  <c r="F81" i="83"/>
  <c r="F149" i="83"/>
  <c r="F144" i="83" s="1"/>
  <c r="F143" i="83" s="1"/>
  <c r="F295" i="83"/>
  <c r="F294" i="83" s="1"/>
  <c r="I745" i="83"/>
  <c r="F421" i="83"/>
  <c r="F416" i="83" s="1"/>
  <c r="F415" i="83" s="1"/>
  <c r="F448" i="83"/>
  <c r="F447" i="83" s="1"/>
  <c r="F446" i="83" s="1"/>
  <c r="F496" i="83"/>
  <c r="F505" i="83"/>
  <c r="I541" i="83"/>
  <c r="I540" i="83" s="1"/>
  <c r="H582" i="83"/>
  <c r="H581" i="83" s="1"/>
  <c r="F778" i="83"/>
  <c r="F777" i="83" s="1"/>
  <c r="I915" i="83"/>
  <c r="I913" i="83" s="1"/>
  <c r="G415" i="83"/>
  <c r="F541" i="83"/>
  <c r="F540" i="83" s="1"/>
  <c r="I604" i="83"/>
  <c r="F837" i="83"/>
  <c r="G472" i="83"/>
  <c r="G471" i="83" s="1"/>
  <c r="F473" i="83"/>
  <c r="F472" i="83" s="1"/>
  <c r="F471" i="83" s="1"/>
  <c r="F592" i="83"/>
  <c r="F582" i="83" s="1"/>
  <c r="F581" i="83" s="1"/>
  <c r="F605" i="83"/>
  <c r="F604" i="83" s="1"/>
  <c r="G642" i="83"/>
  <c r="F644" i="83"/>
  <c r="F643" i="83" s="1"/>
  <c r="F642" i="83" s="1"/>
  <c r="F665" i="83"/>
  <c r="F664" i="83" s="1"/>
  <c r="J695" i="83"/>
  <c r="J721" i="83"/>
  <c r="J745" i="83"/>
  <c r="H745" i="83"/>
  <c r="F793" i="83"/>
  <c r="F792" i="83" s="1"/>
  <c r="F808" i="83"/>
  <c r="F853" i="83"/>
  <c r="F852" i="83" s="1"/>
  <c r="H979" i="83"/>
  <c r="I981" i="83"/>
  <c r="I979" i="83" s="1"/>
  <c r="J1062" i="83"/>
  <c r="J979" i="83" s="1"/>
  <c r="F1191" i="83"/>
  <c r="F1190" i="83" s="1"/>
  <c r="F1260" i="83"/>
  <c r="F1259" i="83" s="1"/>
  <c r="F815" i="83"/>
  <c r="F883" i="83"/>
  <c r="F882" i="83" s="1"/>
  <c r="F899" i="83"/>
  <c r="F898" i="83" s="1"/>
  <c r="F916" i="83"/>
  <c r="F915" i="83" s="1"/>
  <c r="F913" i="83" s="1"/>
  <c r="F965" i="83"/>
  <c r="F957" i="83" s="1"/>
  <c r="F956" i="83" s="1"/>
  <c r="F954" i="83" s="1"/>
  <c r="F990" i="83"/>
  <c r="F989" i="83" s="1"/>
  <c r="G1017" i="83"/>
  <c r="G1016" i="83" s="1"/>
  <c r="G979" i="83" s="1"/>
  <c r="F1063" i="83"/>
  <c r="F1062" i="83" s="1"/>
  <c r="F1078" i="83"/>
  <c r="J1108" i="83"/>
  <c r="G1288" i="83"/>
  <c r="G1287" i="83" s="1"/>
  <c r="G1257" i="83" s="1"/>
  <c r="F1288" i="83"/>
  <c r="F1287" i="83" s="1"/>
  <c r="F1257" i="83" s="1"/>
  <c r="F875" i="83"/>
  <c r="F867" i="83" s="1"/>
  <c r="G939" i="83"/>
  <c r="G937" i="83" s="1"/>
  <c r="F944" i="83"/>
  <c r="F940" i="83" s="1"/>
  <c r="F939" i="83" s="1"/>
  <c r="F937" i="83" s="1"/>
  <c r="F982" i="83"/>
  <c r="F981" i="83" s="1"/>
  <c r="H1108" i="83"/>
  <c r="H1141" i="83"/>
  <c r="F1168" i="83"/>
  <c r="F1167" i="83" s="1"/>
  <c r="F1108" i="83" s="1"/>
  <c r="F1235" i="83"/>
  <c r="F1234" i="83" s="1"/>
  <c r="I923" i="83"/>
  <c r="I935" i="83"/>
  <c r="I927" i="83" s="1"/>
  <c r="I925" i="83" s="1"/>
  <c r="J1344" i="83" l="1"/>
  <c r="F807" i="83"/>
  <c r="F745" i="83" s="1"/>
  <c r="F495" i="83"/>
  <c r="F494" i="83" s="1"/>
  <c r="F51" i="83"/>
  <c r="F50" i="83" s="1"/>
  <c r="F979" i="83"/>
  <c r="F80" i="83"/>
  <c r="F79" i="83" s="1"/>
  <c r="F8" i="83" l="1"/>
  <c r="F1344" i="83" s="1"/>
  <c r="E26" i="54" l="1"/>
  <c r="E14" i="54"/>
  <c r="H49" i="54"/>
  <c r="G49" i="54"/>
  <c r="H48" i="54"/>
  <c r="H44" i="54"/>
  <c r="H43" i="54"/>
  <c r="H38" i="54"/>
  <c r="H42" i="54"/>
  <c r="G37" i="54"/>
  <c r="G45" i="54"/>
  <c r="G39" i="54"/>
  <c r="F24" i="55"/>
  <c r="H36" i="54"/>
  <c r="G35" i="54"/>
  <c r="H34" i="54"/>
  <c r="G33" i="54"/>
  <c r="G31" i="54"/>
  <c r="H30" i="54"/>
  <c r="G29" i="54"/>
  <c r="G26" i="54"/>
  <c r="H27" i="54"/>
  <c r="E23" i="54"/>
  <c r="H21" i="54"/>
  <c r="E21" i="54" s="1"/>
  <c r="H20" i="54"/>
  <c r="H19" i="54"/>
  <c r="H17" i="54"/>
  <c r="E25" i="54"/>
  <c r="H16" i="54"/>
  <c r="H18" i="54"/>
  <c r="H15" i="54"/>
  <c r="H14" i="54"/>
  <c r="E7" i="54"/>
  <c r="I24" i="69" l="1"/>
  <c r="F2286" i="82"/>
  <c r="G2286" i="82" s="1"/>
  <c r="E2286" i="82"/>
  <c r="F2285" i="82"/>
  <c r="E2285" i="82"/>
  <c r="G2274" i="82"/>
  <c r="F2273" i="82"/>
  <c r="E2273" i="82"/>
  <c r="E2272" i="82" s="1"/>
  <c r="E2271" i="82" s="1"/>
  <c r="G2270" i="82"/>
  <c r="F2269" i="82"/>
  <c r="E2269" i="82"/>
  <c r="E2268" i="82" s="1"/>
  <c r="G2266" i="82"/>
  <c r="G2265" i="82"/>
  <c r="F2264" i="82"/>
  <c r="E2264" i="82"/>
  <c r="G2262" i="82"/>
  <c r="G2261" i="82"/>
  <c r="E2260" i="82"/>
  <c r="G2260" i="82" s="1"/>
  <c r="G2259" i="82"/>
  <c r="F2259" i="82"/>
  <c r="E2259" i="82"/>
  <c r="G2257" i="82"/>
  <c r="G2256" i="82"/>
  <c r="F2255" i="82"/>
  <c r="G2255" i="82" s="1"/>
  <c r="E2255" i="82"/>
  <c r="G2253" i="82"/>
  <c r="G2252" i="82"/>
  <c r="F2251" i="82"/>
  <c r="G2251" i="82" s="1"/>
  <c r="E2251" i="82"/>
  <c r="E2250" i="82" s="1"/>
  <c r="G2247" i="82"/>
  <c r="E2247" i="82"/>
  <c r="F2246" i="82"/>
  <c r="F2245" i="82" s="1"/>
  <c r="E2246" i="82"/>
  <c r="G2242" i="82"/>
  <c r="G2241" i="82"/>
  <c r="F2241" i="82"/>
  <c r="E2241" i="82"/>
  <c r="G2239" i="82"/>
  <c r="G2238" i="82"/>
  <c r="F2237" i="82"/>
  <c r="E2237" i="82"/>
  <c r="G2235" i="82"/>
  <c r="F2234" i="82"/>
  <c r="F2233" i="82" s="1"/>
  <c r="F2232" i="82" s="1"/>
  <c r="F2231" i="82" s="1"/>
  <c r="E2234" i="82"/>
  <c r="G2230" i="82"/>
  <c r="G2229" i="82"/>
  <c r="F2228" i="82"/>
  <c r="G2228" i="82" s="1"/>
  <c r="E2228" i="82"/>
  <c r="G2226" i="82"/>
  <c r="F2225" i="82"/>
  <c r="E2225" i="82"/>
  <c r="G2223" i="82"/>
  <c r="G2222" i="82"/>
  <c r="G2221" i="82"/>
  <c r="G2220" i="82"/>
  <c r="G2218" i="82"/>
  <c r="G2217" i="82"/>
  <c r="G2216" i="82"/>
  <c r="G2215" i="82"/>
  <c r="G2214" i="82"/>
  <c r="G2213" i="82"/>
  <c r="G2212" i="82"/>
  <c r="G2211" i="82"/>
  <c r="G2210" i="82"/>
  <c r="G2209" i="82"/>
  <c r="G2208" i="82"/>
  <c r="F2207" i="82"/>
  <c r="G2207" i="82" s="1"/>
  <c r="E2207" i="82"/>
  <c r="G2205" i="82"/>
  <c r="G2204" i="82"/>
  <c r="G2203" i="82"/>
  <c r="G2202" i="82"/>
  <c r="G2201" i="82"/>
  <c r="F2200" i="82"/>
  <c r="E2200" i="82"/>
  <c r="E2199" i="82" s="1"/>
  <c r="E2198" i="82" s="1"/>
  <c r="E2197" i="82" s="1"/>
  <c r="G2196" i="82"/>
  <c r="F2195" i="82"/>
  <c r="E2195" i="82"/>
  <c r="E2194" i="82" s="1"/>
  <c r="E2193" i="82" s="1"/>
  <c r="G2191" i="82"/>
  <c r="G2190" i="82"/>
  <c r="G2189" i="82"/>
  <c r="F2188" i="82"/>
  <c r="E2188" i="82"/>
  <c r="E2186" i="82"/>
  <c r="G2184" i="82"/>
  <c r="G2183" i="82"/>
  <c r="G2182" i="82"/>
  <c r="F2181" i="82"/>
  <c r="F2180" i="82" s="1"/>
  <c r="G2178" i="82"/>
  <c r="G2177" i="82"/>
  <c r="G2176" i="82"/>
  <c r="G2175" i="82"/>
  <c r="G2174" i="82"/>
  <c r="G2173" i="82"/>
  <c r="G2172" i="82"/>
  <c r="G2171" i="82"/>
  <c r="G2170" i="82"/>
  <c r="G2169" i="82"/>
  <c r="G2168" i="82"/>
  <c r="G2167" i="82"/>
  <c r="G2166" i="82"/>
  <c r="G2165" i="82"/>
  <c r="G2164" i="82"/>
  <c r="G2163" i="82"/>
  <c r="G2162" i="82"/>
  <c r="G2161" i="82"/>
  <c r="G2160" i="82"/>
  <c r="G2159" i="82"/>
  <c r="F2158" i="82"/>
  <c r="E2158" i="82"/>
  <c r="G2156" i="82"/>
  <c r="G2155" i="82"/>
  <c r="F2154" i="82"/>
  <c r="G2154" i="82" s="1"/>
  <c r="E2154" i="82"/>
  <c r="F2152" i="82"/>
  <c r="G2152" i="82" s="1"/>
  <c r="F2151" i="82"/>
  <c r="E2150" i="82"/>
  <c r="F2148" i="82"/>
  <c r="G2148" i="82" s="1"/>
  <c r="G2147" i="82"/>
  <c r="F2147" i="82"/>
  <c r="F2146" i="82"/>
  <c r="E2145" i="82"/>
  <c r="E2144" i="82"/>
  <c r="E2143" i="82" s="1"/>
  <c r="F2140" i="82"/>
  <c r="F2139" i="82" s="1"/>
  <c r="E2140" i="82"/>
  <c r="E2139" i="82"/>
  <c r="G2137" i="82"/>
  <c r="F2136" i="82"/>
  <c r="E2136" i="82"/>
  <c r="G2134" i="82"/>
  <c r="G2133" i="82"/>
  <c r="G2132" i="82"/>
  <c r="F2131" i="82"/>
  <c r="E2131" i="82"/>
  <c r="G2129" i="82"/>
  <c r="F2128" i="82"/>
  <c r="E2128" i="82"/>
  <c r="E2127" i="82"/>
  <c r="E2126" i="82" s="1"/>
  <c r="G2123" i="82"/>
  <c r="F2122" i="82"/>
  <c r="E2122" i="82"/>
  <c r="E2121" i="82"/>
  <c r="G2119" i="82"/>
  <c r="G2118" i="82"/>
  <c r="G2117" i="82"/>
  <c r="F2116" i="82"/>
  <c r="F2115" i="82" s="1"/>
  <c r="E2116" i="82"/>
  <c r="G2113" i="82"/>
  <c r="F2112" i="82"/>
  <c r="E2112" i="82"/>
  <c r="E2111" i="82" s="1"/>
  <c r="G2109" i="82"/>
  <c r="G2108" i="82"/>
  <c r="F2107" i="82"/>
  <c r="F2106" i="82" s="1"/>
  <c r="E2107" i="82"/>
  <c r="E2106" i="82"/>
  <c r="E2105" i="82" s="1"/>
  <c r="G2104" i="82"/>
  <c r="F2103" i="82"/>
  <c r="F2102" i="82" s="1"/>
  <c r="E2103" i="82"/>
  <c r="G2100" i="82"/>
  <c r="G2099" i="82"/>
  <c r="F2098" i="82"/>
  <c r="E2098" i="82"/>
  <c r="F2097" i="82"/>
  <c r="F2096" i="82" s="1"/>
  <c r="G2095" i="82"/>
  <c r="G2094" i="82"/>
  <c r="G2093" i="82"/>
  <c r="F2092" i="82"/>
  <c r="F2091" i="82" s="1"/>
  <c r="F2090" i="82" s="1"/>
  <c r="E2092" i="82"/>
  <c r="G2089" i="82"/>
  <c r="G2088" i="82"/>
  <c r="F2087" i="82"/>
  <c r="G2087" i="82" s="1"/>
  <c r="E2087" i="82"/>
  <c r="G2085" i="82"/>
  <c r="G2084" i="82"/>
  <c r="G2083" i="82"/>
  <c r="G2082" i="82"/>
  <c r="F2081" i="82"/>
  <c r="E2081" i="82"/>
  <c r="E2080" i="82"/>
  <c r="G2078" i="82"/>
  <c r="G2077" i="82"/>
  <c r="G2076" i="82"/>
  <c r="G2075" i="82"/>
  <c r="F2075" i="82"/>
  <c r="F2074" i="82" s="1"/>
  <c r="E2075" i="82"/>
  <c r="E2074" i="82"/>
  <c r="E2073" i="82" s="1"/>
  <c r="G2072" i="82"/>
  <c r="G2071" i="82"/>
  <c r="F2070" i="82"/>
  <c r="E2070" i="82"/>
  <c r="E2069" i="82"/>
  <c r="E2068" i="82"/>
  <c r="G2067" i="82"/>
  <c r="F2066" i="82"/>
  <c r="G2066" i="82" s="1"/>
  <c r="E2066" i="82"/>
  <c r="E2065" i="82" s="1"/>
  <c r="G2063" i="82"/>
  <c r="G2062" i="82"/>
  <c r="F2061" i="82"/>
  <c r="E2061" i="82"/>
  <c r="E2060" i="82" s="1"/>
  <c r="E2059" i="82" s="1"/>
  <c r="G2058" i="82"/>
  <c r="G2057" i="82"/>
  <c r="F2056" i="82"/>
  <c r="G2056" i="82" s="1"/>
  <c r="E2056" i="82"/>
  <c r="G2054" i="82"/>
  <c r="G2053" i="82"/>
  <c r="F2052" i="82"/>
  <c r="F2051" i="82" s="1"/>
  <c r="F2050" i="82" s="1"/>
  <c r="E2052" i="82"/>
  <c r="E2051" i="82" s="1"/>
  <c r="G2048" i="82"/>
  <c r="F2047" i="82"/>
  <c r="E2047" i="82"/>
  <c r="E2046" i="82" s="1"/>
  <c r="G2044" i="82"/>
  <c r="F2043" i="82"/>
  <c r="G2043" i="82" s="1"/>
  <c r="E2043" i="82"/>
  <c r="G2041" i="82"/>
  <c r="E2040" i="82"/>
  <c r="G2040" i="82" s="1"/>
  <c r="G2039" i="82"/>
  <c r="G2038" i="82"/>
  <c r="F2037" i="82"/>
  <c r="E2037" i="82"/>
  <c r="G2035" i="82"/>
  <c r="F2034" i="82"/>
  <c r="E2034" i="82"/>
  <c r="F2033" i="82"/>
  <c r="F2032" i="82" s="1"/>
  <c r="G2030" i="82"/>
  <c r="G2029" i="82"/>
  <c r="G2028" i="82"/>
  <c r="F2027" i="82"/>
  <c r="F2026" i="82" s="1"/>
  <c r="E2027" i="82"/>
  <c r="E2026" i="82" s="1"/>
  <c r="E2025" i="82" s="1"/>
  <c r="E2024" i="82" s="1"/>
  <c r="G2023" i="82"/>
  <c r="G2022" i="82"/>
  <c r="F2021" i="82"/>
  <c r="E2021" i="82"/>
  <c r="E2015" i="82" s="1"/>
  <c r="E2014" i="82" s="1"/>
  <c r="E2013" i="82" s="1"/>
  <c r="G2019" i="82"/>
  <c r="G2018" i="82"/>
  <c r="G2017" i="82"/>
  <c r="G2016" i="82"/>
  <c r="F2016" i="82"/>
  <c r="E2016" i="82"/>
  <c r="F2015" i="82"/>
  <c r="F2011" i="82"/>
  <c r="F2005" i="82" s="1"/>
  <c r="E2011" i="82"/>
  <c r="G2009" i="82"/>
  <c r="G2008" i="82"/>
  <c r="G2007" i="82"/>
  <c r="F2006" i="82"/>
  <c r="E2006" i="82"/>
  <c r="E2005" i="82" s="1"/>
  <c r="E2004" i="82" s="1"/>
  <c r="E2003" i="82" s="1"/>
  <c r="F2001" i="82"/>
  <c r="F2000" i="82" s="1"/>
  <c r="E2001" i="82"/>
  <c r="E2000" i="82"/>
  <c r="G1998" i="82"/>
  <c r="F1996" i="82"/>
  <c r="E1996" i="82"/>
  <c r="G1994" i="82"/>
  <c r="G1993" i="82"/>
  <c r="G1992" i="82"/>
  <c r="F1991" i="82"/>
  <c r="E1991" i="82"/>
  <c r="G1991" i="82" s="1"/>
  <c r="F1990" i="82"/>
  <c r="G1987" i="82"/>
  <c r="F1986" i="82"/>
  <c r="F1985" i="82" s="1"/>
  <c r="F1984" i="82" s="1"/>
  <c r="E1986" i="82"/>
  <c r="G1983" i="82"/>
  <c r="G1982" i="82"/>
  <c r="F1981" i="82"/>
  <c r="E1981" i="82"/>
  <c r="F1980" i="82"/>
  <c r="F1979" i="82" s="1"/>
  <c r="G1977" i="82"/>
  <c r="F1976" i="82"/>
  <c r="E1976" i="82"/>
  <c r="G1974" i="82"/>
  <c r="G1973" i="82"/>
  <c r="G1972" i="82"/>
  <c r="F1971" i="82"/>
  <c r="E1971" i="82"/>
  <c r="E1970" i="82"/>
  <c r="E1969" i="82" s="1"/>
  <c r="E1968" i="82" s="1"/>
  <c r="G1967" i="82"/>
  <c r="G1966" i="82"/>
  <c r="F1966" i="82"/>
  <c r="F1965" i="82" s="1"/>
  <c r="E1966" i="82"/>
  <c r="E1965" i="82"/>
  <c r="E1964" i="82" s="1"/>
  <c r="F1960" i="82"/>
  <c r="E1960" i="82"/>
  <c r="E1959" i="82" s="1"/>
  <c r="E1958" i="82" s="1"/>
  <c r="E1957" i="82" s="1"/>
  <c r="F1959" i="82"/>
  <c r="F1958" i="82" s="1"/>
  <c r="F1957" i="82" s="1"/>
  <c r="G1955" i="82"/>
  <c r="G1954" i="82"/>
  <c r="G1953" i="82"/>
  <c r="F1952" i="82"/>
  <c r="E1952" i="82"/>
  <c r="G1952" i="82" s="1"/>
  <c r="G1950" i="82"/>
  <c r="F1949" i="82"/>
  <c r="F1948" i="82" s="1"/>
  <c r="E1949" i="82"/>
  <c r="G1945" i="82"/>
  <c r="F1944" i="82"/>
  <c r="G1944" i="82" s="1"/>
  <c r="E1944" i="82"/>
  <c r="G1942" i="82"/>
  <c r="G1941" i="82"/>
  <c r="G1940" i="82"/>
  <c r="G1939" i="82"/>
  <c r="G1938" i="82"/>
  <c r="G1937" i="82"/>
  <c r="G1936" i="82"/>
  <c r="G1935" i="82"/>
  <c r="G1934" i="82"/>
  <c r="G1933" i="82"/>
  <c r="G1932" i="82"/>
  <c r="G1931" i="82"/>
  <c r="G1930" i="82"/>
  <c r="G1929" i="82"/>
  <c r="G1928" i="82"/>
  <c r="F1927" i="82"/>
  <c r="E1927" i="82"/>
  <c r="G1925" i="82"/>
  <c r="G1924" i="82"/>
  <c r="G1923" i="82"/>
  <c r="G1922" i="82"/>
  <c r="G1921" i="82"/>
  <c r="F1920" i="82"/>
  <c r="E1920" i="82"/>
  <c r="G1916" i="82"/>
  <c r="G1915" i="82"/>
  <c r="G1914" i="82"/>
  <c r="F1913" i="82"/>
  <c r="E1913" i="82"/>
  <c r="G1911" i="82"/>
  <c r="G1910" i="82"/>
  <c r="G1909" i="82"/>
  <c r="F1908" i="82"/>
  <c r="E1908" i="82"/>
  <c r="E1907" i="82"/>
  <c r="G1903" i="82"/>
  <c r="G1902" i="82"/>
  <c r="G1900" i="82"/>
  <c r="G1899" i="82"/>
  <c r="G1896" i="82"/>
  <c r="G1893" i="82"/>
  <c r="G1892" i="82"/>
  <c r="G1890" i="82"/>
  <c r="G1889" i="82"/>
  <c r="F1888" i="82"/>
  <c r="E1888" i="82"/>
  <c r="E1887" i="82" s="1"/>
  <c r="G1885" i="82"/>
  <c r="G1884" i="82"/>
  <c r="G1883" i="82"/>
  <c r="G1882" i="82"/>
  <c r="G1881" i="82"/>
  <c r="G1880" i="82"/>
  <c r="G1879" i="82"/>
  <c r="G1878" i="82"/>
  <c r="G1877" i="82"/>
  <c r="G1876" i="82"/>
  <c r="G1875" i="82"/>
  <c r="G1874" i="82"/>
  <c r="G1873" i="82"/>
  <c r="F1872" i="82"/>
  <c r="G1872" i="82" s="1"/>
  <c r="E1872" i="82"/>
  <c r="G1870" i="82"/>
  <c r="F1869" i="82"/>
  <c r="G1869" i="82" s="1"/>
  <c r="E1869" i="82"/>
  <c r="F1868" i="82"/>
  <c r="E1868" i="82"/>
  <c r="E1867" i="82" s="1"/>
  <c r="G1866" i="82"/>
  <c r="G1865" i="82"/>
  <c r="F1864" i="82"/>
  <c r="E1864" i="82"/>
  <c r="F1863" i="82"/>
  <c r="G1859" i="82"/>
  <c r="F1858" i="82"/>
  <c r="E1858" i="82"/>
  <c r="E1857" i="82" s="1"/>
  <c r="G1855" i="82"/>
  <c r="F1854" i="82"/>
  <c r="E1854" i="82"/>
  <c r="E1853" i="82"/>
  <c r="G1851" i="82"/>
  <c r="G1850" i="82"/>
  <c r="G1849" i="82"/>
  <c r="G1848" i="82"/>
  <c r="G1847" i="82"/>
  <c r="G1846" i="82"/>
  <c r="G1845" i="82"/>
  <c r="G1844" i="82"/>
  <c r="G1843" i="82"/>
  <c r="G1842" i="82"/>
  <c r="G1841" i="82"/>
  <c r="G1840" i="82"/>
  <c r="G1839" i="82"/>
  <c r="G1838" i="82"/>
  <c r="G1837" i="82"/>
  <c r="G1836" i="82"/>
  <c r="G1835" i="82"/>
  <c r="G1834" i="82"/>
  <c r="G1833" i="82"/>
  <c r="G1832" i="82"/>
  <c r="G1831" i="82"/>
  <c r="G1830" i="82"/>
  <c r="G1829" i="82"/>
  <c r="F1828" i="82"/>
  <c r="E1828" i="82"/>
  <c r="E1827" i="82"/>
  <c r="E1826" i="82" s="1"/>
  <c r="G1825" i="82"/>
  <c r="F1824" i="82"/>
  <c r="G1824" i="82" s="1"/>
  <c r="E1824" i="82"/>
  <c r="G1822" i="82"/>
  <c r="G1821" i="82"/>
  <c r="G1820" i="82"/>
  <c r="G1819" i="82"/>
  <c r="G1818" i="82"/>
  <c r="G1817" i="82"/>
  <c r="G1816" i="82"/>
  <c r="F1815" i="82"/>
  <c r="E1815" i="82"/>
  <c r="G1813" i="82"/>
  <c r="G1812" i="82"/>
  <c r="G1811" i="82"/>
  <c r="G1810" i="82"/>
  <c r="F1809" i="82"/>
  <c r="E1809" i="82"/>
  <c r="G1804" i="82"/>
  <c r="G1803" i="82"/>
  <c r="F1802" i="82"/>
  <c r="E1802" i="82"/>
  <c r="E1801" i="82" s="1"/>
  <c r="G1799" i="82"/>
  <c r="G1798" i="82"/>
  <c r="G1797" i="82"/>
  <c r="G1796" i="82"/>
  <c r="G1795" i="82"/>
  <c r="G1794" i="82"/>
  <c r="G1793" i="82"/>
  <c r="G1792" i="82"/>
  <c r="G1791" i="82"/>
  <c r="G1790" i="82"/>
  <c r="G1789" i="82"/>
  <c r="G1788" i="82"/>
  <c r="G1787" i="82"/>
  <c r="G1786" i="82"/>
  <c r="G1785" i="82"/>
  <c r="G1784" i="82"/>
  <c r="G1783" i="82"/>
  <c r="G1782" i="82"/>
  <c r="F1781" i="82"/>
  <c r="E1781" i="82"/>
  <c r="E1779" i="82"/>
  <c r="G1779" i="82" s="1"/>
  <c r="E1778" i="82"/>
  <c r="G1778" i="82" s="1"/>
  <c r="G1777" i="82"/>
  <c r="G1776" i="82"/>
  <c r="F1775" i="82"/>
  <c r="E1775" i="82"/>
  <c r="E1774" i="82" s="1"/>
  <c r="E1773" i="82" s="1"/>
  <c r="E1772" i="82" s="1"/>
  <c r="F1774" i="82"/>
  <c r="G1771" i="82"/>
  <c r="G1770" i="82"/>
  <c r="F1769" i="82"/>
  <c r="E1769" i="82"/>
  <c r="G1767" i="82"/>
  <c r="G1766" i="82"/>
  <c r="G1765" i="82"/>
  <c r="F1763" i="82"/>
  <c r="E1763" i="82"/>
  <c r="E1762" i="82" s="1"/>
  <c r="F1760" i="82"/>
  <c r="E1760" i="82"/>
  <c r="G1760" i="82" s="1"/>
  <c r="F1759" i="82"/>
  <c r="G1759" i="82" s="1"/>
  <c r="E1759" i="82"/>
  <c r="F1758" i="82"/>
  <c r="E1758" i="82"/>
  <c r="F1757" i="82"/>
  <c r="E1757" i="82"/>
  <c r="F1756" i="82"/>
  <c r="E1756" i="82"/>
  <c r="G1756" i="82" s="1"/>
  <c r="F1755" i="82"/>
  <c r="E1755" i="82"/>
  <c r="F1754" i="82"/>
  <c r="G1754" i="82" s="1"/>
  <c r="E1754" i="82"/>
  <c r="F1753" i="82"/>
  <c r="E1753" i="82"/>
  <c r="F1752" i="82"/>
  <c r="E1752" i="82"/>
  <c r="F1751" i="82"/>
  <c r="E1751" i="82"/>
  <c r="G1750" i="82"/>
  <c r="G1749" i="82"/>
  <c r="F1748" i="82"/>
  <c r="E1748" i="82"/>
  <c r="G1748" i="82" s="1"/>
  <c r="F1747" i="82"/>
  <c r="G1747" i="82" s="1"/>
  <c r="E1747" i="82"/>
  <c r="F1746" i="82"/>
  <c r="E1746" i="82"/>
  <c r="F1745" i="82"/>
  <c r="E1745" i="82"/>
  <c r="F1744" i="82"/>
  <c r="E1744" i="82"/>
  <c r="G1744" i="82" s="1"/>
  <c r="F1743" i="82"/>
  <c r="G1743" i="82" s="1"/>
  <c r="E1743" i="82"/>
  <c r="F1742" i="82"/>
  <c r="G1742" i="82" s="1"/>
  <c r="E1742" i="82"/>
  <c r="F1741" i="82"/>
  <c r="E1741" i="82"/>
  <c r="F1740" i="82"/>
  <c r="E1740" i="82"/>
  <c r="F1739" i="82"/>
  <c r="E1739" i="82"/>
  <c r="G1738" i="82"/>
  <c r="F1738" i="82"/>
  <c r="E1738" i="82"/>
  <c r="F1737" i="82"/>
  <c r="E1737" i="82"/>
  <c r="F1736" i="82"/>
  <c r="E1736" i="82"/>
  <c r="G1736" i="82" s="1"/>
  <c r="F1735" i="82"/>
  <c r="E1735" i="82"/>
  <c r="F1734" i="82"/>
  <c r="G1734" i="82" s="1"/>
  <c r="E1734" i="82"/>
  <c r="F1733" i="82"/>
  <c r="G1733" i="82" s="1"/>
  <c r="E1733" i="82"/>
  <c r="F1732" i="82"/>
  <c r="E1732" i="82"/>
  <c r="G1732" i="82" s="1"/>
  <c r="G1731" i="82"/>
  <c r="F1731" i="82"/>
  <c r="E1731" i="82"/>
  <c r="F1730" i="82"/>
  <c r="G1730" i="82" s="1"/>
  <c r="E1730" i="82"/>
  <c r="F1729" i="82"/>
  <c r="E1729" i="82"/>
  <c r="F1728" i="82"/>
  <c r="G1728" i="82" s="1"/>
  <c r="E1728" i="82"/>
  <c r="F1727" i="82"/>
  <c r="G1727" i="82" s="1"/>
  <c r="E1727" i="82"/>
  <c r="F1726" i="82"/>
  <c r="E1726" i="82"/>
  <c r="F1725" i="82"/>
  <c r="E1725" i="82"/>
  <c r="F1724" i="82"/>
  <c r="E1724" i="82"/>
  <c r="F1723" i="82"/>
  <c r="G1723" i="82" s="1"/>
  <c r="E1723" i="82"/>
  <c r="G1720" i="82"/>
  <c r="G1719" i="82"/>
  <c r="F1718" i="82"/>
  <c r="G1718" i="82" s="1"/>
  <c r="E1718" i="82"/>
  <c r="G1716" i="82"/>
  <c r="G1715" i="82"/>
  <c r="G1714" i="82"/>
  <c r="G1713" i="82"/>
  <c r="G1712" i="82"/>
  <c r="G1711" i="82"/>
  <c r="G1710" i="82"/>
  <c r="G1709" i="82"/>
  <c r="G1708" i="82"/>
  <c r="G1707" i="82"/>
  <c r="G1706" i="82"/>
  <c r="G1705" i="82"/>
  <c r="G1704" i="82"/>
  <c r="G1703" i="82"/>
  <c r="G1702" i="82"/>
  <c r="G1701" i="82"/>
  <c r="G1700" i="82"/>
  <c r="G1699" i="82"/>
  <c r="G1698" i="82"/>
  <c r="F1697" i="82"/>
  <c r="E1697" i="82"/>
  <c r="G1695" i="82"/>
  <c r="G1694" i="82"/>
  <c r="G1693" i="82"/>
  <c r="G1692" i="82"/>
  <c r="G1691" i="82"/>
  <c r="F1690" i="82"/>
  <c r="E1690" i="82"/>
  <c r="E1689" i="82"/>
  <c r="G1686" i="82"/>
  <c r="G1685" i="82"/>
  <c r="F1685" i="82"/>
  <c r="E1685" i="82"/>
  <c r="F1684" i="82"/>
  <c r="E1684" i="82"/>
  <c r="G1682" i="82"/>
  <c r="G1681" i="82"/>
  <c r="G1680" i="82"/>
  <c r="G1679" i="82"/>
  <c r="F1678" i="82"/>
  <c r="E1678" i="82"/>
  <c r="E1677" i="82" s="1"/>
  <c r="F1677" i="82"/>
  <c r="G1674" i="82"/>
  <c r="G1673" i="82"/>
  <c r="G1672" i="82"/>
  <c r="G1671" i="82"/>
  <c r="F1670" i="82"/>
  <c r="E1670" i="82"/>
  <c r="E1669" i="82" s="1"/>
  <c r="G1667" i="82"/>
  <c r="G1666" i="82"/>
  <c r="G1665" i="82"/>
  <c r="G1664" i="82"/>
  <c r="G1663" i="82"/>
  <c r="G1662" i="82"/>
  <c r="G1661" i="82"/>
  <c r="G1660" i="82"/>
  <c r="G1659" i="82"/>
  <c r="G1658" i="82"/>
  <c r="G1657" i="82"/>
  <c r="G1656" i="82"/>
  <c r="G1655" i="82"/>
  <c r="G1654" i="82"/>
  <c r="G1653" i="82"/>
  <c r="G1652" i="82"/>
  <c r="G1651" i="82"/>
  <c r="G1650" i="82"/>
  <c r="G1649" i="82"/>
  <c r="G1648" i="82"/>
  <c r="G1647" i="82"/>
  <c r="G1646" i="82"/>
  <c r="G1645" i="82"/>
  <c r="G1644" i="82"/>
  <c r="G1643" i="82"/>
  <c r="G1642" i="82"/>
  <c r="G1641" i="82"/>
  <c r="G1640" i="82"/>
  <c r="G1639" i="82"/>
  <c r="G1638" i="82"/>
  <c r="G1637" i="82"/>
  <c r="G1636" i="82"/>
  <c r="G1635" i="82"/>
  <c r="G1634" i="82"/>
  <c r="G1633" i="82"/>
  <c r="G1632" i="82"/>
  <c r="G1631" i="82"/>
  <c r="G1630" i="82"/>
  <c r="G1629" i="82"/>
  <c r="G1628" i="82"/>
  <c r="G1627" i="82"/>
  <c r="G1626" i="82"/>
  <c r="G1625" i="82"/>
  <c r="G1624" i="82"/>
  <c r="G1623" i="82"/>
  <c r="G1622" i="82"/>
  <c r="G1621" i="82"/>
  <c r="G1620" i="82"/>
  <c r="G1619" i="82"/>
  <c r="G1618" i="82"/>
  <c r="G1617" i="82"/>
  <c r="G1616" i="82"/>
  <c r="G1615" i="82"/>
  <c r="G1614" i="82"/>
  <c r="G1613" i="82"/>
  <c r="F1612" i="82"/>
  <c r="E1612" i="82"/>
  <c r="G1610" i="82"/>
  <c r="G1609" i="82"/>
  <c r="G1608" i="82"/>
  <c r="G1607" i="82"/>
  <c r="G1606" i="82"/>
  <c r="F1605" i="82"/>
  <c r="E1605" i="82"/>
  <c r="E1604" i="82"/>
  <c r="E1603" i="82" s="1"/>
  <c r="G1602" i="82"/>
  <c r="F1601" i="82"/>
  <c r="E1601" i="82"/>
  <c r="E1600" i="82" s="1"/>
  <c r="F1600" i="82"/>
  <c r="F1599" i="82" s="1"/>
  <c r="E1599" i="82"/>
  <c r="G1598" i="82"/>
  <c r="G1597" i="82"/>
  <c r="F1596" i="82"/>
  <c r="E1596" i="82"/>
  <c r="E1595" i="82" s="1"/>
  <c r="G1593" i="82"/>
  <c r="G1592" i="82"/>
  <c r="G1591" i="82"/>
  <c r="G1590" i="82"/>
  <c r="G1589" i="82"/>
  <c r="G1588" i="82"/>
  <c r="G1587" i="82"/>
  <c r="G1586" i="82"/>
  <c r="G1585" i="82"/>
  <c r="G1584" i="82"/>
  <c r="G1583" i="82"/>
  <c r="F1583" i="82"/>
  <c r="E1583" i="82"/>
  <c r="G1581" i="82"/>
  <c r="G1580" i="82"/>
  <c r="F1580" i="82"/>
  <c r="E1580" i="82"/>
  <c r="G1578" i="82"/>
  <c r="G1577" i="82"/>
  <c r="G1576" i="82"/>
  <c r="G1575" i="82"/>
  <c r="G1574" i="82"/>
  <c r="G1573" i="82"/>
  <c r="G1572" i="82"/>
  <c r="G1571" i="82"/>
  <c r="G1570" i="82"/>
  <c r="G1569" i="82"/>
  <c r="G1568" i="82"/>
  <c r="G1567" i="82"/>
  <c r="G1566" i="82"/>
  <c r="G1565" i="82"/>
  <c r="G1564" i="82"/>
  <c r="G1563" i="82"/>
  <c r="G1562" i="82"/>
  <c r="G1561" i="82"/>
  <c r="G1560" i="82"/>
  <c r="G1559" i="82"/>
  <c r="G1558" i="82"/>
  <c r="G1557" i="82"/>
  <c r="F1557" i="82"/>
  <c r="E1557" i="82"/>
  <c r="G1555" i="82"/>
  <c r="G1554" i="82"/>
  <c r="G1553" i="82"/>
  <c r="G1552" i="82"/>
  <c r="G1551" i="82"/>
  <c r="G1550" i="82"/>
  <c r="F1550" i="82"/>
  <c r="E1550" i="82"/>
  <c r="E1549" i="82" s="1"/>
  <c r="E1548" i="82" s="1"/>
  <c r="F1549" i="82"/>
  <c r="G1546" i="82"/>
  <c r="F1545" i="82"/>
  <c r="E1545" i="82"/>
  <c r="E1544" i="82"/>
  <c r="E1543" i="82" s="1"/>
  <c r="G1542" i="82"/>
  <c r="F1541" i="82"/>
  <c r="E1541" i="82"/>
  <c r="E1540" i="82"/>
  <c r="E1539" i="82" s="1"/>
  <c r="G1537" i="82"/>
  <c r="F1536" i="82"/>
  <c r="G1536" i="82" s="1"/>
  <c r="E1536" i="82"/>
  <c r="G1534" i="82"/>
  <c r="F1533" i="82"/>
  <c r="E1533" i="82"/>
  <c r="G1531" i="82"/>
  <c r="F1530" i="82"/>
  <c r="E1530" i="82"/>
  <c r="F1529" i="82"/>
  <c r="G1526" i="82"/>
  <c r="F1525" i="82"/>
  <c r="E1525" i="82"/>
  <c r="E1524" i="82"/>
  <c r="E1523" i="82" s="1"/>
  <c r="E1522" i="82" s="1"/>
  <c r="G1521" i="82"/>
  <c r="F1520" i="82"/>
  <c r="E1520" i="82"/>
  <c r="G1520" i="82" s="1"/>
  <c r="G1518" i="82"/>
  <c r="G1517" i="82"/>
  <c r="G1516" i="82"/>
  <c r="G1515" i="82"/>
  <c r="F1515" i="82"/>
  <c r="E1515" i="82"/>
  <c r="E1514" i="82" s="1"/>
  <c r="F1514" i="82"/>
  <c r="E1513" i="82"/>
  <c r="E1512" i="82" s="1"/>
  <c r="G1511" i="82"/>
  <c r="F1510" i="82"/>
  <c r="E1510" i="82"/>
  <c r="E1509" i="82"/>
  <c r="E1508" i="82" s="1"/>
  <c r="G1507" i="82"/>
  <c r="F1506" i="82"/>
  <c r="E1506" i="82"/>
  <c r="E1505" i="82"/>
  <c r="G1503" i="82"/>
  <c r="F1502" i="82"/>
  <c r="E1502" i="82"/>
  <c r="G1502" i="82" s="1"/>
  <c r="G1500" i="82"/>
  <c r="F1499" i="82"/>
  <c r="E1499" i="82"/>
  <c r="F1498" i="82"/>
  <c r="G1495" i="82"/>
  <c r="F1494" i="82"/>
  <c r="E1494" i="82"/>
  <c r="E1493" i="82"/>
  <c r="F1490" i="82"/>
  <c r="F1489" i="82" s="1"/>
  <c r="E1490" i="82"/>
  <c r="E1489" i="82"/>
  <c r="G1487" i="82"/>
  <c r="F1486" i="82"/>
  <c r="G1486" i="82" s="1"/>
  <c r="E1486" i="82"/>
  <c r="E1485" i="82"/>
  <c r="E1484" i="82" s="1"/>
  <c r="G1483" i="82"/>
  <c r="F1482" i="82"/>
  <c r="E1482" i="82"/>
  <c r="E1481" i="82"/>
  <c r="G1479" i="82"/>
  <c r="F1478" i="82"/>
  <c r="E1478" i="82"/>
  <c r="F1477" i="82"/>
  <c r="G1475" i="82"/>
  <c r="F1474" i="82"/>
  <c r="E1474" i="82"/>
  <c r="F1473" i="82"/>
  <c r="G1471" i="82"/>
  <c r="G1470" i="82"/>
  <c r="G1469" i="82"/>
  <c r="F1468" i="82"/>
  <c r="E1468" i="82"/>
  <c r="F1467" i="82"/>
  <c r="G1465" i="82"/>
  <c r="G1464" i="82"/>
  <c r="F1463" i="82"/>
  <c r="G1463" i="82" s="1"/>
  <c r="E1463" i="82"/>
  <c r="G1461" i="82"/>
  <c r="F1460" i="82"/>
  <c r="F1459" i="82" s="1"/>
  <c r="E1460" i="82"/>
  <c r="E1459" i="82" s="1"/>
  <c r="E1458" i="82" s="1"/>
  <c r="G1455" i="82"/>
  <c r="G1454" i="82"/>
  <c r="F1453" i="82"/>
  <c r="G1453" i="82" s="1"/>
  <c r="E1453" i="82"/>
  <c r="E1452" i="82"/>
  <c r="G1450" i="82"/>
  <c r="G1449" i="82"/>
  <c r="F1448" i="82"/>
  <c r="E1448" i="82"/>
  <c r="F1445" i="82"/>
  <c r="F1444" i="82" s="1"/>
  <c r="F1443" i="82" s="1"/>
  <c r="E1445" i="82"/>
  <c r="E1444" i="82" s="1"/>
  <c r="E1443" i="82" s="1"/>
  <c r="G1441" i="82"/>
  <c r="F1440" i="82"/>
  <c r="E1440" i="82"/>
  <c r="G1438" i="82"/>
  <c r="F1437" i="82"/>
  <c r="G1437" i="82" s="1"/>
  <c r="E1437" i="82"/>
  <c r="G1435" i="82"/>
  <c r="G1434" i="82"/>
  <c r="F1433" i="82"/>
  <c r="E1433" i="82"/>
  <c r="F1432" i="82"/>
  <c r="G1428" i="82"/>
  <c r="G1427" i="82"/>
  <c r="G1426" i="82"/>
  <c r="F1425" i="82"/>
  <c r="E1425" i="82"/>
  <c r="F1424" i="82"/>
  <c r="G1422" i="82"/>
  <c r="G1421" i="82"/>
  <c r="F1420" i="82"/>
  <c r="E1420" i="82"/>
  <c r="G1420" i="82" s="1"/>
  <c r="G1418" i="82"/>
  <c r="G1417" i="82"/>
  <c r="G1416" i="82"/>
  <c r="F1415" i="82"/>
  <c r="E1415" i="82"/>
  <c r="G1413" i="82"/>
  <c r="G1412" i="82"/>
  <c r="G1411" i="82"/>
  <c r="G1410" i="82"/>
  <c r="G1409" i="82"/>
  <c r="F1408" i="82"/>
  <c r="E1408" i="82"/>
  <c r="G1406" i="82"/>
  <c r="G1405" i="82"/>
  <c r="G1404" i="82"/>
  <c r="F1403" i="82"/>
  <c r="E1403" i="82"/>
  <c r="G1401" i="82"/>
  <c r="G1400" i="82"/>
  <c r="G1399" i="82"/>
  <c r="G1398" i="82"/>
  <c r="F1397" i="82"/>
  <c r="E1397" i="82"/>
  <c r="G1393" i="82"/>
  <c r="G1392" i="82"/>
  <c r="G1391" i="82"/>
  <c r="G1390" i="82"/>
  <c r="G1389" i="82"/>
  <c r="G1388" i="82"/>
  <c r="F1387" i="82"/>
  <c r="E1387" i="82"/>
  <c r="G1385" i="82"/>
  <c r="G1384" i="82"/>
  <c r="G1383" i="82"/>
  <c r="G1382" i="82"/>
  <c r="F1381" i="82"/>
  <c r="E1381" i="82"/>
  <c r="G1377" i="82"/>
  <c r="G1376" i="82"/>
  <c r="G1375" i="82"/>
  <c r="G1374" i="82"/>
  <c r="F1373" i="82"/>
  <c r="E1373" i="82"/>
  <c r="G1373" i="82" s="1"/>
  <c r="G1371" i="82"/>
  <c r="G1370" i="82"/>
  <c r="G1369" i="82"/>
  <c r="G1368" i="82"/>
  <c r="G1367" i="82"/>
  <c r="F1366" i="82"/>
  <c r="E1366" i="82"/>
  <c r="F1365" i="82"/>
  <c r="G1363" i="82"/>
  <c r="G1362" i="82"/>
  <c r="G1361" i="82"/>
  <c r="G1360" i="82"/>
  <c r="G1359" i="82"/>
  <c r="F1359" i="82"/>
  <c r="E1359" i="82"/>
  <c r="G1357" i="82"/>
  <c r="G1356" i="82"/>
  <c r="F1356" i="82"/>
  <c r="E1356" i="82"/>
  <c r="G1354" i="82"/>
  <c r="G1352" i="82"/>
  <c r="G1351" i="82"/>
  <c r="G1350" i="82"/>
  <c r="G1349" i="82"/>
  <c r="G1348" i="82"/>
  <c r="G1347" i="82"/>
  <c r="G1346" i="82"/>
  <c r="G1345" i="82"/>
  <c r="G1344" i="82"/>
  <c r="G1343" i="82"/>
  <c r="G1342" i="82"/>
  <c r="G1341" i="82"/>
  <c r="G1340" i="82"/>
  <c r="G1339" i="82"/>
  <c r="G1338" i="82"/>
  <c r="F1337" i="82"/>
  <c r="E1337" i="82"/>
  <c r="G1335" i="82"/>
  <c r="G1334" i="82"/>
  <c r="G1333" i="82"/>
  <c r="G1332" i="82"/>
  <c r="G1331" i="82"/>
  <c r="F1330" i="82"/>
  <c r="E1330" i="82"/>
  <c r="E1329" i="82"/>
  <c r="E1328" i="82" s="1"/>
  <c r="G1326" i="82"/>
  <c r="G1325" i="82"/>
  <c r="F1324" i="82"/>
  <c r="E1324" i="82"/>
  <c r="G1322" i="82"/>
  <c r="G1321" i="82"/>
  <c r="G1319" i="82"/>
  <c r="F1318" i="82"/>
  <c r="E1318" i="82"/>
  <c r="E1317" i="82" s="1"/>
  <c r="G1315" i="82"/>
  <c r="G1314" i="82"/>
  <c r="G1313" i="82"/>
  <c r="G1312" i="82"/>
  <c r="G1311" i="82"/>
  <c r="G1310" i="82"/>
  <c r="G1309" i="82"/>
  <c r="G1308" i="82"/>
  <c r="G1307" i="82"/>
  <c r="G1306" i="82"/>
  <c r="G1305" i="82"/>
  <c r="G1304" i="82"/>
  <c r="G1303" i="82"/>
  <c r="G1302" i="82"/>
  <c r="G1301" i="82"/>
  <c r="G1300" i="82"/>
  <c r="G1299" i="82"/>
  <c r="G1298" i="82"/>
  <c r="G1297" i="82"/>
  <c r="G1296" i="82"/>
  <c r="G1295" i="82"/>
  <c r="G1294" i="82"/>
  <c r="G1293" i="82"/>
  <c r="G1292" i="82"/>
  <c r="G1291" i="82"/>
  <c r="G1290" i="82"/>
  <c r="G1289" i="82"/>
  <c r="G1288" i="82"/>
  <c r="G1287" i="82"/>
  <c r="G1286" i="82"/>
  <c r="F1285" i="82"/>
  <c r="G1285" i="82" s="1"/>
  <c r="E1285" i="82"/>
  <c r="G1283" i="82"/>
  <c r="F1282" i="82"/>
  <c r="G1282" i="82" s="1"/>
  <c r="E1282" i="82"/>
  <c r="G1280" i="82"/>
  <c r="G1279" i="82"/>
  <c r="G1278" i="82"/>
  <c r="G1277" i="82"/>
  <c r="G1276" i="82"/>
  <c r="G1275" i="82"/>
  <c r="G1274" i="82"/>
  <c r="G1273" i="82"/>
  <c r="G1272" i="82"/>
  <c r="G1271" i="82"/>
  <c r="G1270" i="82"/>
  <c r="F1270" i="82"/>
  <c r="E1270" i="82"/>
  <c r="G1268" i="82"/>
  <c r="G1267" i="82"/>
  <c r="G1266" i="82"/>
  <c r="G1265" i="82"/>
  <c r="G1264" i="82"/>
  <c r="G1263" i="82"/>
  <c r="F1263" i="82"/>
  <c r="E1263" i="82"/>
  <c r="E1262" i="82" s="1"/>
  <c r="E1261" i="82" s="1"/>
  <c r="F1262" i="82"/>
  <c r="G1258" i="82"/>
  <c r="F1257" i="82"/>
  <c r="E1257" i="82"/>
  <c r="E1256" i="82"/>
  <c r="G1254" i="82"/>
  <c r="G1253" i="82"/>
  <c r="G1252" i="82"/>
  <c r="G1251" i="82"/>
  <c r="G1250" i="82"/>
  <c r="G1249" i="82"/>
  <c r="G1246" i="82"/>
  <c r="G1245" i="82"/>
  <c r="G1244" i="82"/>
  <c r="G1243" i="82"/>
  <c r="G1242" i="82"/>
  <c r="G1241" i="82"/>
  <c r="G1240" i="82"/>
  <c r="G1239" i="82"/>
  <c r="F1238" i="82"/>
  <c r="E1238" i="82"/>
  <c r="G1236" i="82"/>
  <c r="G1235" i="82"/>
  <c r="F1234" i="82"/>
  <c r="E1234" i="82"/>
  <c r="G1234" i="82" s="1"/>
  <c r="G1232" i="82"/>
  <c r="G1231" i="82"/>
  <c r="G1230" i="82"/>
  <c r="G1229" i="82"/>
  <c r="G1228" i="82"/>
  <c r="G1227" i="82"/>
  <c r="G1226" i="82"/>
  <c r="G1225" i="82"/>
  <c r="G1224" i="82"/>
  <c r="G1222" i="82"/>
  <c r="G1221" i="82"/>
  <c r="G1220" i="82"/>
  <c r="G1219" i="82"/>
  <c r="G1218" i="82"/>
  <c r="G1217" i="82"/>
  <c r="G1216" i="82"/>
  <c r="F1215" i="82"/>
  <c r="G1215" i="82" s="1"/>
  <c r="E1215" i="82"/>
  <c r="G1213" i="82"/>
  <c r="G1212" i="82"/>
  <c r="G1211" i="82"/>
  <c r="G1210" i="82"/>
  <c r="G1209" i="82"/>
  <c r="F1208" i="82"/>
  <c r="G1208" i="82" s="1"/>
  <c r="E1208" i="82"/>
  <c r="E1207" i="82" s="1"/>
  <c r="G1204" i="82"/>
  <c r="F1203" i="82"/>
  <c r="E1203" i="82"/>
  <c r="G1201" i="82"/>
  <c r="G1200" i="82"/>
  <c r="G1199" i="82"/>
  <c r="G1198" i="82"/>
  <c r="F1197" i="82"/>
  <c r="E1197" i="82"/>
  <c r="G1195" i="82"/>
  <c r="G1194" i="82"/>
  <c r="G1193" i="82"/>
  <c r="G1192" i="82"/>
  <c r="G1191" i="82"/>
  <c r="F1191" i="82"/>
  <c r="E1191" i="82"/>
  <c r="F1190" i="82"/>
  <c r="G1187" i="82"/>
  <c r="F1186" i="82"/>
  <c r="E1186" i="82"/>
  <c r="E1185" i="82"/>
  <c r="E1184" i="82" s="1"/>
  <c r="E1183" i="82" s="1"/>
  <c r="G1182" i="82"/>
  <c r="F1181" i="82"/>
  <c r="E1181" i="82"/>
  <c r="G1181" i="82" s="1"/>
  <c r="G1179" i="82"/>
  <c r="G1178" i="82"/>
  <c r="G1177" i="82"/>
  <c r="G1176" i="82"/>
  <c r="F1175" i="82"/>
  <c r="E1175" i="82"/>
  <c r="G1173" i="82"/>
  <c r="G1172" i="82"/>
  <c r="G1171" i="82"/>
  <c r="G1170" i="82"/>
  <c r="F1169" i="82"/>
  <c r="E1169" i="82"/>
  <c r="G1165" i="82"/>
  <c r="F1164" i="82"/>
  <c r="E1164" i="82"/>
  <c r="E1163" i="82" s="1"/>
  <c r="E1162" i="82" s="1"/>
  <c r="G1161" i="82"/>
  <c r="F1160" i="82"/>
  <c r="E1160" i="82"/>
  <c r="E1159" i="82"/>
  <c r="G1157" i="82"/>
  <c r="F1156" i="82"/>
  <c r="G1156" i="82" s="1"/>
  <c r="E1156" i="82"/>
  <c r="G1154" i="82"/>
  <c r="G1153" i="82"/>
  <c r="G1152" i="82"/>
  <c r="G1151" i="82"/>
  <c r="G1150" i="82"/>
  <c r="G1149" i="82"/>
  <c r="G1148" i="82"/>
  <c r="G1147" i="82"/>
  <c r="G1146" i="82"/>
  <c r="G1145" i="82"/>
  <c r="G1144" i="82"/>
  <c r="G1143" i="82"/>
  <c r="F1142" i="82"/>
  <c r="G1142" i="82" s="1"/>
  <c r="E1142" i="82"/>
  <c r="G1140" i="82"/>
  <c r="G1139" i="82"/>
  <c r="G1138" i="82"/>
  <c r="G1137" i="82"/>
  <c r="G1136" i="82"/>
  <c r="F1135" i="82"/>
  <c r="E1135" i="82"/>
  <c r="E1134" i="82" s="1"/>
  <c r="E1133" i="82" s="1"/>
  <c r="E1132" i="82" s="1"/>
  <c r="G1131" i="82"/>
  <c r="F1130" i="82"/>
  <c r="E1130" i="82"/>
  <c r="E1129" i="82" s="1"/>
  <c r="E1128" i="82" s="1"/>
  <c r="G1126" i="82"/>
  <c r="F1125" i="82"/>
  <c r="F1124" i="82" s="1"/>
  <c r="E1125" i="82"/>
  <c r="G1122" i="82"/>
  <c r="F1121" i="82"/>
  <c r="G1121" i="82" s="1"/>
  <c r="E1121" i="82"/>
  <c r="E1120" i="82" s="1"/>
  <c r="E1119" i="82" s="1"/>
  <c r="G1116" i="82"/>
  <c r="F1115" i="82"/>
  <c r="E1115" i="82"/>
  <c r="E1114" i="82" s="1"/>
  <c r="E1113" i="82" s="1"/>
  <c r="G1112" i="82"/>
  <c r="F1111" i="82"/>
  <c r="E1111" i="82"/>
  <c r="E1110" i="82" s="1"/>
  <c r="E1109" i="82" s="1"/>
  <c r="G1104" i="82"/>
  <c r="F1103" i="82"/>
  <c r="F1102" i="82" s="1"/>
  <c r="E1103" i="82"/>
  <c r="E1102" i="82" s="1"/>
  <c r="E1101" i="82" s="1"/>
  <c r="E1100" i="82"/>
  <c r="G1100" i="82" s="1"/>
  <c r="F1099" i="82"/>
  <c r="G1096" i="82"/>
  <c r="F1095" i="82"/>
  <c r="F1094" i="82" s="1"/>
  <c r="E1095" i="82"/>
  <c r="G1092" i="82"/>
  <c r="F1091" i="82"/>
  <c r="F1090" i="82" s="1"/>
  <c r="E1091" i="82"/>
  <c r="E1090" i="82" s="1"/>
  <c r="E1089" i="82" s="1"/>
  <c r="G1088" i="82"/>
  <c r="F1087" i="82"/>
  <c r="F1086" i="82" s="1"/>
  <c r="E1087" i="82"/>
  <c r="G1085" i="82"/>
  <c r="G1084" i="82"/>
  <c r="G1083" i="82"/>
  <c r="G1082" i="82"/>
  <c r="G1080" i="82"/>
  <c r="F1079" i="82"/>
  <c r="E1079" i="82"/>
  <c r="E1078" i="82" s="1"/>
  <c r="G1077" i="82"/>
  <c r="E1076" i="82"/>
  <c r="F1075" i="82"/>
  <c r="G1072" i="82"/>
  <c r="G1071" i="82"/>
  <c r="F1070" i="82"/>
  <c r="F1069" i="82" s="1"/>
  <c r="E1070" i="82"/>
  <c r="E1069" i="82" s="1"/>
  <c r="E1068" i="82" s="1"/>
  <c r="E1067" i="82" s="1"/>
  <c r="E1066" i="82" s="1"/>
  <c r="G1065" i="82"/>
  <c r="G1064" i="82"/>
  <c r="G1063" i="82"/>
  <c r="G1062" i="82"/>
  <c r="G1061" i="82"/>
  <c r="G1060" i="82"/>
  <c r="G1059" i="82"/>
  <c r="G1058" i="82"/>
  <c r="F1057" i="82"/>
  <c r="E1057" i="82"/>
  <c r="G1055" i="82"/>
  <c r="F1054" i="82"/>
  <c r="E1054" i="82"/>
  <c r="G1052" i="82"/>
  <c r="E1050" i="82"/>
  <c r="G1049" i="82"/>
  <c r="E1048" i="82"/>
  <c r="G1048" i="82" s="1"/>
  <c r="G1047" i="82"/>
  <c r="G1046" i="82"/>
  <c r="G1045" i="82"/>
  <c r="G1044" i="82"/>
  <c r="G1043" i="82"/>
  <c r="F1042" i="82"/>
  <c r="G1039" i="82"/>
  <c r="G1038" i="82"/>
  <c r="F1038" i="82"/>
  <c r="E1038" i="82"/>
  <c r="G1037" i="82"/>
  <c r="G1036" i="82"/>
  <c r="G1035" i="82"/>
  <c r="G1034" i="82"/>
  <c r="G1033" i="82"/>
  <c r="G1032" i="82"/>
  <c r="F1031" i="82"/>
  <c r="G1031" i="82" s="1"/>
  <c r="E1031" i="82"/>
  <c r="F1030" i="82"/>
  <c r="G1030" i="82" s="1"/>
  <c r="E1030" i="82"/>
  <c r="F1029" i="82"/>
  <c r="E1029" i="82"/>
  <c r="G1028" i="82"/>
  <c r="G1027" i="82"/>
  <c r="E1026" i="82"/>
  <c r="G1026" i="82" s="1"/>
  <c r="G1025" i="82"/>
  <c r="G1024" i="82"/>
  <c r="G1023" i="82"/>
  <c r="E1022" i="82"/>
  <c r="G1022" i="82" s="1"/>
  <c r="F1021" i="82"/>
  <c r="G1021" i="82" s="1"/>
  <c r="E1021" i="82"/>
  <c r="F1020" i="82"/>
  <c r="E1020" i="82"/>
  <c r="G1020" i="82" s="1"/>
  <c r="E1019" i="82"/>
  <c r="G1019" i="82" s="1"/>
  <c r="G1018" i="82"/>
  <c r="F1017" i="82"/>
  <c r="E1017" i="82"/>
  <c r="F1016" i="82"/>
  <c r="G1016" i="82" s="1"/>
  <c r="E1016" i="82"/>
  <c r="G1015" i="82"/>
  <c r="G1014" i="82"/>
  <c r="G1013" i="82"/>
  <c r="G1012" i="82"/>
  <c r="F1011" i="82"/>
  <c r="E1011" i="82"/>
  <c r="G1011" i="82" s="1"/>
  <c r="G1010" i="82"/>
  <c r="G1009" i="82"/>
  <c r="G1008" i="82"/>
  <c r="G1007" i="82"/>
  <c r="F1006" i="82"/>
  <c r="G1006" i="82" s="1"/>
  <c r="E1006" i="82"/>
  <c r="F1005" i="82"/>
  <c r="G1005" i="82" s="1"/>
  <c r="E1005" i="82"/>
  <c r="G1004" i="82"/>
  <c r="G1003" i="82"/>
  <c r="F1002" i="82"/>
  <c r="G1002" i="82" s="1"/>
  <c r="F1001" i="82"/>
  <c r="G1001" i="82" s="1"/>
  <c r="G1000" i="82"/>
  <c r="F999" i="82"/>
  <c r="E999" i="82"/>
  <c r="F998" i="82"/>
  <c r="G998" i="82" s="1"/>
  <c r="E998" i="82"/>
  <c r="G997" i="82"/>
  <c r="F996" i="82"/>
  <c r="G996" i="82" s="1"/>
  <c r="E996" i="82"/>
  <c r="F995" i="82"/>
  <c r="E995" i="82"/>
  <c r="G994" i="82"/>
  <c r="G993" i="82"/>
  <c r="F992" i="82"/>
  <c r="E992" i="82"/>
  <c r="F991" i="82"/>
  <c r="E991" i="82"/>
  <c r="G991" i="82" s="1"/>
  <c r="F990" i="82"/>
  <c r="E990" i="82"/>
  <c r="G989" i="82"/>
  <c r="G988" i="82"/>
  <c r="G987" i="82"/>
  <c r="G986" i="82"/>
  <c r="G985" i="82"/>
  <c r="G984" i="82"/>
  <c r="G983" i="82"/>
  <c r="G980" i="82"/>
  <c r="F979" i="82"/>
  <c r="E979" i="82"/>
  <c r="G977" i="82"/>
  <c r="G976" i="82"/>
  <c r="G975" i="82"/>
  <c r="G974" i="82"/>
  <c r="G973" i="82"/>
  <c r="F973" i="82"/>
  <c r="E973" i="82"/>
  <c r="G972" i="82"/>
  <c r="G971" i="82"/>
  <c r="F971" i="82"/>
  <c r="E971" i="82"/>
  <c r="F970" i="82"/>
  <c r="E970" i="82"/>
  <c r="G969" i="82"/>
  <c r="F968" i="82"/>
  <c r="E968" i="82"/>
  <c r="F967" i="82"/>
  <c r="G967" i="82" s="1"/>
  <c r="E967" i="82"/>
  <c r="F966" i="82"/>
  <c r="E966" i="82"/>
  <c r="G965" i="82"/>
  <c r="F965" i="82"/>
  <c r="E962" i="82"/>
  <c r="G962" i="82" s="1"/>
  <c r="F961" i="82"/>
  <c r="G957" i="82"/>
  <c r="F956" i="82"/>
  <c r="E956" i="82"/>
  <c r="G954" i="82"/>
  <c r="G953" i="82"/>
  <c r="G952" i="82"/>
  <c r="G951" i="82"/>
  <c r="G950" i="82"/>
  <c r="G949" i="82"/>
  <c r="F948" i="82"/>
  <c r="E948" i="82"/>
  <c r="E941" i="82" s="1"/>
  <c r="E940" i="82" s="1"/>
  <c r="E939" i="82" s="1"/>
  <c r="G946" i="82"/>
  <c r="G945" i="82"/>
  <c r="G944" i="82"/>
  <c r="G943" i="82"/>
  <c r="G942" i="82"/>
  <c r="F942" i="82"/>
  <c r="E942" i="82"/>
  <c r="F941" i="82"/>
  <c r="G938" i="82"/>
  <c r="F937" i="82"/>
  <c r="E937" i="82"/>
  <c r="E936" i="82" s="1"/>
  <c r="G934" i="82"/>
  <c r="G933" i="82"/>
  <c r="G932" i="82"/>
  <c r="G931" i="82"/>
  <c r="F930" i="82"/>
  <c r="E930" i="82"/>
  <c r="G928" i="82"/>
  <c r="F927" i="82"/>
  <c r="E927" i="82"/>
  <c r="E926" i="82"/>
  <c r="E925" i="82" s="1"/>
  <c r="G923" i="82"/>
  <c r="G922" i="82"/>
  <c r="G921" i="82"/>
  <c r="G920" i="82"/>
  <c r="F919" i="82"/>
  <c r="G919" i="82" s="1"/>
  <c r="E919" i="82"/>
  <c r="G917" i="82"/>
  <c r="G916" i="82"/>
  <c r="G915" i="82"/>
  <c r="G914" i="82"/>
  <c r="G913" i="82"/>
  <c r="F912" i="82"/>
  <c r="E912" i="82"/>
  <c r="E911" i="82" s="1"/>
  <c r="G909" i="82"/>
  <c r="G908" i="82"/>
  <c r="G907" i="82"/>
  <c r="G906" i="82"/>
  <c r="G905" i="82"/>
  <c r="G904" i="82"/>
  <c r="G903" i="82"/>
  <c r="G902" i="82"/>
  <c r="G901" i="82"/>
  <c r="G900" i="82"/>
  <c r="G899" i="82"/>
  <c r="G898" i="82"/>
  <c r="G897" i="82"/>
  <c r="G896" i="82"/>
  <c r="G895" i="82"/>
  <c r="E894" i="82"/>
  <c r="G894" i="82" s="1"/>
  <c r="G893" i="82"/>
  <c r="G892" i="82"/>
  <c r="G891" i="82"/>
  <c r="G890" i="82"/>
  <c r="G889" i="82"/>
  <c r="G888" i="82"/>
  <c r="G887" i="82"/>
  <c r="G886" i="82"/>
  <c r="G885" i="82"/>
  <c r="G884" i="82"/>
  <c r="G883" i="82"/>
  <c r="G882" i="82"/>
  <c r="G881" i="82"/>
  <c r="G880" i="82"/>
  <c r="G879" i="82"/>
  <c r="F877" i="82"/>
  <c r="E877" i="82"/>
  <c r="G875" i="82"/>
  <c r="G874" i="82"/>
  <c r="F873" i="82"/>
  <c r="E873" i="82"/>
  <c r="G871" i="82"/>
  <c r="G870" i="82"/>
  <c r="G869" i="82"/>
  <c r="G868" i="82"/>
  <c r="F868" i="82"/>
  <c r="E868" i="82"/>
  <c r="F867" i="82"/>
  <c r="E867" i="82"/>
  <c r="F866" i="82"/>
  <c r="E866" i="82"/>
  <c r="F865" i="82"/>
  <c r="E865" i="82"/>
  <c r="F862" i="82"/>
  <c r="E862" i="82"/>
  <c r="E861" i="82"/>
  <c r="G857" i="82"/>
  <c r="G856" i="82"/>
  <c r="F855" i="82"/>
  <c r="E855" i="82"/>
  <c r="G853" i="82"/>
  <c r="G852" i="82"/>
  <c r="G851" i="82"/>
  <c r="F850" i="82"/>
  <c r="F849" i="82" s="1"/>
  <c r="E850" i="82"/>
  <c r="E849" i="82" s="1"/>
  <c r="E848" i="82" s="1"/>
  <c r="E847" i="82" s="1"/>
  <c r="G846" i="82"/>
  <c r="F845" i="82"/>
  <c r="E845" i="82"/>
  <c r="E844" i="82" s="1"/>
  <c r="E843" i="82" s="1"/>
  <c r="F842" i="82"/>
  <c r="G841" i="82"/>
  <c r="F841" i="82"/>
  <c r="G840" i="82"/>
  <c r="G839" i="82"/>
  <c r="G838" i="82"/>
  <c r="E837" i="82"/>
  <c r="F835" i="82"/>
  <c r="G835" i="82" s="1"/>
  <c r="F834" i="82"/>
  <c r="G834" i="82" s="1"/>
  <c r="G833" i="82"/>
  <c r="G832" i="82"/>
  <c r="G831" i="82"/>
  <c r="F830" i="82"/>
  <c r="E830" i="82"/>
  <c r="E829" i="82"/>
  <c r="E828" i="82" s="1"/>
  <c r="G826" i="82"/>
  <c r="G825" i="82"/>
  <c r="E824" i="82"/>
  <c r="G824" i="82" s="1"/>
  <c r="E823" i="82"/>
  <c r="G823" i="82" s="1"/>
  <c r="G822" i="82"/>
  <c r="G821" i="82"/>
  <c r="F820" i="82"/>
  <c r="G820" i="82" s="1"/>
  <c r="G819" i="82"/>
  <c r="F819" i="82"/>
  <c r="F818" i="82"/>
  <c r="E818" i="82"/>
  <c r="G818" i="82" s="1"/>
  <c r="F817" i="82"/>
  <c r="G817" i="82" s="1"/>
  <c r="E817" i="82"/>
  <c r="G816" i="82"/>
  <c r="G815" i="82"/>
  <c r="F814" i="82"/>
  <c r="E814" i="82"/>
  <c r="F813" i="82"/>
  <c r="E813" i="82"/>
  <c r="G812" i="82"/>
  <c r="E812" i="82"/>
  <c r="E811" i="82"/>
  <c r="G811" i="82" s="1"/>
  <c r="G810" i="82"/>
  <c r="F809" i="82"/>
  <c r="G809" i="82" s="1"/>
  <c r="E809" i="82"/>
  <c r="F808" i="82"/>
  <c r="E808" i="82"/>
  <c r="G807" i="82"/>
  <c r="G806" i="82"/>
  <c r="G805" i="82"/>
  <c r="G804" i="82"/>
  <c r="F803" i="82"/>
  <c r="E803" i="82"/>
  <c r="F802" i="82"/>
  <c r="E802" i="82"/>
  <c r="F801" i="82"/>
  <c r="G801" i="82" s="1"/>
  <c r="E801" i="82"/>
  <c r="F800" i="82"/>
  <c r="E800" i="82"/>
  <c r="G799" i="82"/>
  <c r="G798" i="82"/>
  <c r="G797" i="82"/>
  <c r="G796" i="82"/>
  <c r="G795" i="82"/>
  <c r="G794" i="82"/>
  <c r="G793" i="82"/>
  <c r="G792" i="82"/>
  <c r="G791" i="82"/>
  <c r="G790" i="82"/>
  <c r="G789" i="82"/>
  <c r="G788" i="82"/>
  <c r="G785" i="82"/>
  <c r="F784" i="82"/>
  <c r="G784" i="82" s="1"/>
  <c r="E784" i="82"/>
  <c r="G782" i="82"/>
  <c r="G781" i="82"/>
  <c r="G780" i="82"/>
  <c r="G779" i="82"/>
  <c r="G778" i="82"/>
  <c r="G777" i="82"/>
  <c r="G776" i="82"/>
  <c r="G775" i="82"/>
  <c r="G774" i="82"/>
  <c r="G773" i="82"/>
  <c r="G772" i="82"/>
  <c r="G771" i="82"/>
  <c r="G770" i="82"/>
  <c r="G769" i="82"/>
  <c r="G768" i="82"/>
  <c r="F768" i="82"/>
  <c r="E768" i="82"/>
  <c r="G767" i="82"/>
  <c r="G766" i="82"/>
  <c r="G765" i="82"/>
  <c r="G764" i="82"/>
  <c r="F763" i="82"/>
  <c r="E763" i="82"/>
  <c r="E761" i="82" s="1"/>
  <c r="G762" i="82"/>
  <c r="G759" i="82"/>
  <c r="E759" i="82"/>
  <c r="E758" i="82"/>
  <c r="G758" i="82" s="1"/>
  <c r="E757" i="82"/>
  <c r="G757" i="82" s="1"/>
  <c r="G756" i="82"/>
  <c r="G755" i="82"/>
  <c r="F754" i="82"/>
  <c r="E754" i="82"/>
  <c r="G750" i="82"/>
  <c r="F749" i="82"/>
  <c r="E749" i="82"/>
  <c r="E748" i="82"/>
  <c r="G746" i="82"/>
  <c r="F745" i="82"/>
  <c r="E745" i="82"/>
  <c r="G745" i="82" s="1"/>
  <c r="G743" i="82"/>
  <c r="G742" i="82"/>
  <c r="G741" i="82"/>
  <c r="G740" i="82"/>
  <c r="F739" i="82"/>
  <c r="G739" i="82" s="1"/>
  <c r="E739" i="82"/>
  <c r="G737" i="82"/>
  <c r="F736" i="82"/>
  <c r="E736" i="82"/>
  <c r="E735" i="82" s="1"/>
  <c r="G731" i="82"/>
  <c r="F730" i="82"/>
  <c r="E730" i="82"/>
  <c r="G730" i="82" s="1"/>
  <c r="G728" i="82"/>
  <c r="G727" i="82"/>
  <c r="G726" i="82"/>
  <c r="G725" i="82"/>
  <c r="G724" i="82"/>
  <c r="F723" i="82"/>
  <c r="E723" i="82"/>
  <c r="F722" i="82"/>
  <c r="G718" i="82"/>
  <c r="G717" i="82"/>
  <c r="F716" i="82"/>
  <c r="E716" i="82"/>
  <c r="G714" i="82"/>
  <c r="G713" i="82"/>
  <c r="G712" i="82"/>
  <c r="G711" i="82"/>
  <c r="F710" i="82"/>
  <c r="F709" i="82" s="1"/>
  <c r="G709" i="82" s="1"/>
  <c r="E710" i="82"/>
  <c r="E709" i="82" s="1"/>
  <c r="G707" i="82"/>
  <c r="G706" i="82"/>
  <c r="G705" i="82"/>
  <c r="G704" i="82"/>
  <c r="G703" i="82"/>
  <c r="G702" i="82"/>
  <c r="G701" i="82"/>
  <c r="G700" i="82"/>
  <c r="G699" i="82"/>
  <c r="G698" i="82"/>
  <c r="G697" i="82"/>
  <c r="G696" i="82"/>
  <c r="E695" i="82"/>
  <c r="G695" i="82" s="1"/>
  <c r="E694" i="82"/>
  <c r="G694" i="82" s="1"/>
  <c r="G693" i="82"/>
  <c r="G692" i="82"/>
  <c r="G691" i="82"/>
  <c r="G690" i="82"/>
  <c r="G689" i="82"/>
  <c r="G688" i="82"/>
  <c r="G687" i="82"/>
  <c r="E686" i="82"/>
  <c r="G686" i="82" s="1"/>
  <c r="E685" i="82"/>
  <c r="G685" i="82" s="1"/>
  <c r="G684" i="82"/>
  <c r="E683" i="82"/>
  <c r="G683" i="82" s="1"/>
  <c r="E682" i="82"/>
  <c r="G682" i="82" s="1"/>
  <c r="G681" i="82"/>
  <c r="G680" i="82"/>
  <c r="G679" i="82"/>
  <c r="E678" i="82"/>
  <c r="G678" i="82" s="1"/>
  <c r="E677" i="82"/>
  <c r="G677" i="82" s="1"/>
  <c r="G676" i="82"/>
  <c r="G675" i="82"/>
  <c r="G674" i="82"/>
  <c r="F673" i="82"/>
  <c r="G671" i="82"/>
  <c r="G670" i="82"/>
  <c r="G669" i="82"/>
  <c r="G668" i="82"/>
  <c r="F667" i="82"/>
  <c r="E667" i="82"/>
  <c r="F664" i="82"/>
  <c r="F663" i="82" s="1"/>
  <c r="E664" i="82"/>
  <c r="E663" i="82"/>
  <c r="G660" i="82"/>
  <c r="F659" i="82"/>
  <c r="E659" i="82"/>
  <c r="G657" i="82"/>
  <c r="G656" i="82"/>
  <c r="F655" i="82"/>
  <c r="F654" i="82" s="1"/>
  <c r="E655" i="82"/>
  <c r="E654" i="82" s="1"/>
  <c r="E653" i="82" s="1"/>
  <c r="E652" i="82" s="1"/>
  <c r="G651" i="82"/>
  <c r="F650" i="82"/>
  <c r="E650" i="82"/>
  <c r="E649" i="82" s="1"/>
  <c r="E648" i="82" s="1"/>
  <c r="G646" i="82"/>
  <c r="G645" i="82"/>
  <c r="G644" i="82"/>
  <c r="F643" i="82"/>
  <c r="G643" i="82" s="1"/>
  <c r="E643" i="82"/>
  <c r="G642" i="82"/>
  <c r="F641" i="82"/>
  <c r="G641" i="82" s="1"/>
  <c r="E641" i="82"/>
  <c r="E640" i="82"/>
  <c r="G637" i="82"/>
  <c r="G636" i="82"/>
  <c r="G635" i="82"/>
  <c r="G634" i="82"/>
  <c r="F632" i="82"/>
  <c r="G632" i="82" s="1"/>
  <c r="E632" i="82"/>
  <c r="F630" i="82"/>
  <c r="E630" i="82"/>
  <c r="E629" i="82"/>
  <c r="E628" i="82" s="1"/>
  <c r="E627" i="82" s="1"/>
  <c r="G625" i="82"/>
  <c r="F624" i="82"/>
  <c r="E624" i="82"/>
  <c r="G622" i="82"/>
  <c r="G621" i="82"/>
  <c r="G620" i="82"/>
  <c r="G619" i="82"/>
  <c r="G618" i="82"/>
  <c r="G617" i="82"/>
  <c r="G616" i="82"/>
  <c r="G615" i="82"/>
  <c r="G614" i="82"/>
  <c r="G613" i="82"/>
  <c r="G612" i="82"/>
  <c r="F611" i="82"/>
  <c r="G611" i="82" s="1"/>
  <c r="E611" i="82"/>
  <c r="E610" i="82"/>
  <c r="G606" i="82"/>
  <c r="F605" i="82"/>
  <c r="G605" i="82" s="1"/>
  <c r="E605" i="82"/>
  <c r="E604" i="82"/>
  <c r="G602" i="82"/>
  <c r="G601" i="82"/>
  <c r="F601" i="82"/>
  <c r="E601" i="82"/>
  <c r="E600" i="82" s="1"/>
  <c r="E599" i="82" s="1"/>
  <c r="F600" i="82"/>
  <c r="E598" i="82"/>
  <c r="G598" i="82" s="1"/>
  <c r="G597" i="82"/>
  <c r="G596" i="82"/>
  <c r="G595" i="82"/>
  <c r="G594" i="82"/>
  <c r="F593" i="82"/>
  <c r="G591" i="82"/>
  <c r="F590" i="82"/>
  <c r="E590" i="82"/>
  <c r="G588" i="82"/>
  <c r="G586" i="82"/>
  <c r="G585" i="82"/>
  <c r="G584" i="82"/>
  <c r="G583" i="82"/>
  <c r="G582" i="82"/>
  <c r="G581" i="82"/>
  <c r="G580" i="82"/>
  <c r="G579" i="82"/>
  <c r="G578" i="82"/>
  <c r="G577" i="82"/>
  <c r="G576" i="82"/>
  <c r="F575" i="82"/>
  <c r="E575" i="82"/>
  <c r="G575" i="82" s="1"/>
  <c r="G573" i="82"/>
  <c r="G572" i="82"/>
  <c r="G571" i="82"/>
  <c r="G570" i="82"/>
  <c r="G569" i="82"/>
  <c r="F568" i="82"/>
  <c r="F567" i="82" s="1"/>
  <c r="E568" i="82"/>
  <c r="F563" i="82"/>
  <c r="F562" i="82" s="1"/>
  <c r="E563" i="82"/>
  <c r="E562" i="82" s="1"/>
  <c r="G560" i="82"/>
  <c r="F559" i="82"/>
  <c r="E559" i="82"/>
  <c r="G557" i="82"/>
  <c r="G556" i="82"/>
  <c r="G555" i="82"/>
  <c r="G554" i="82"/>
  <c r="G553" i="82"/>
  <c r="G552" i="82"/>
  <c r="G551" i="82"/>
  <c r="G550" i="82"/>
  <c r="G549" i="82"/>
  <c r="G548" i="82"/>
  <c r="G547" i="82"/>
  <c r="G546" i="82"/>
  <c r="G545" i="82"/>
  <c r="G544" i="82"/>
  <c r="G543" i="82"/>
  <c r="G542" i="82"/>
  <c r="G541" i="82"/>
  <c r="F540" i="82"/>
  <c r="G540" i="82" s="1"/>
  <c r="E540" i="82"/>
  <c r="G538" i="82"/>
  <c r="G537" i="82"/>
  <c r="G536" i="82"/>
  <c r="G535" i="82"/>
  <c r="G534" i="82"/>
  <c r="F533" i="82"/>
  <c r="E533" i="82"/>
  <c r="E532" i="82" s="1"/>
  <c r="E531" i="82" s="1"/>
  <c r="G528" i="82"/>
  <c r="G527" i="82"/>
  <c r="F526" i="82"/>
  <c r="F525" i="82" s="1"/>
  <c r="E526" i="82"/>
  <c r="G526" i="82" s="1"/>
  <c r="G523" i="82"/>
  <c r="F522" i="82"/>
  <c r="E522" i="82"/>
  <c r="E521" i="82"/>
  <c r="E519" i="82"/>
  <c r="E516" i="82" s="1"/>
  <c r="E515" i="82" s="1"/>
  <c r="G518" i="82"/>
  <c r="G517" i="82"/>
  <c r="F515" i="82"/>
  <c r="G513" i="82"/>
  <c r="F512" i="82"/>
  <c r="G512" i="82" s="1"/>
  <c r="E512" i="82"/>
  <c r="G510" i="82"/>
  <c r="G509" i="82"/>
  <c r="G508" i="82"/>
  <c r="G507" i="82"/>
  <c r="G506" i="82"/>
  <c r="G505" i="82"/>
  <c r="G504" i="82"/>
  <c r="G503" i="82"/>
  <c r="G502" i="82"/>
  <c r="F501" i="82"/>
  <c r="E501" i="82"/>
  <c r="E499" i="82" s="1"/>
  <c r="E498" i="82" s="1"/>
  <c r="G495" i="82"/>
  <c r="F494" i="82"/>
  <c r="E494" i="82"/>
  <c r="E493" i="82" s="1"/>
  <c r="F476" i="82"/>
  <c r="E476" i="82"/>
  <c r="G474" i="82"/>
  <c r="F473" i="82"/>
  <c r="G473" i="82" s="1"/>
  <c r="E473" i="82"/>
  <c r="G471" i="82"/>
  <c r="G470" i="82"/>
  <c r="G469" i="82"/>
  <c r="F467" i="82"/>
  <c r="F465" i="82" s="1"/>
  <c r="G465" i="82" s="1"/>
  <c r="G466" i="82"/>
  <c r="E465" i="82"/>
  <c r="G463" i="82"/>
  <c r="G462" i="82"/>
  <c r="G461" i="82"/>
  <c r="G460" i="82"/>
  <c r="G459" i="82"/>
  <c r="F458" i="82"/>
  <c r="E458" i="82"/>
  <c r="E457" i="82" s="1"/>
  <c r="E456" i="82" s="1"/>
  <c r="E455" i="82" s="1"/>
  <c r="G454" i="82"/>
  <c r="F453" i="82"/>
  <c r="E453" i="82"/>
  <c r="F452" i="82"/>
  <c r="G450" i="82"/>
  <c r="G449" i="82"/>
  <c r="G448" i="82"/>
  <c r="G447" i="82"/>
  <c r="G445" i="82"/>
  <c r="G444" i="82"/>
  <c r="G443" i="82"/>
  <c r="G442" i="82"/>
  <c r="G441" i="82"/>
  <c r="G440" i="82"/>
  <c r="G439" i="82"/>
  <c r="G438" i="82"/>
  <c r="G437" i="82"/>
  <c r="G436" i="82"/>
  <c r="F435" i="82"/>
  <c r="E435" i="82"/>
  <c r="G435" i="82" s="1"/>
  <c r="G433" i="82"/>
  <c r="F432" i="82"/>
  <c r="E432" i="82"/>
  <c r="G432" i="82" s="1"/>
  <c r="G430" i="82"/>
  <c r="F429" i="82"/>
  <c r="E429" i="82"/>
  <c r="F428" i="82"/>
  <c r="G424" i="82"/>
  <c r="F423" i="82"/>
  <c r="E423" i="82"/>
  <c r="G423" i="82" s="1"/>
  <c r="G421" i="82"/>
  <c r="F420" i="82"/>
  <c r="F419" i="82" s="1"/>
  <c r="E420" i="82"/>
  <c r="G416" i="82"/>
  <c r="G415" i="82"/>
  <c r="F414" i="82"/>
  <c r="E414" i="82"/>
  <c r="G412" i="82"/>
  <c r="G411" i="82"/>
  <c r="G410" i="82"/>
  <c r="G409" i="82"/>
  <c r="F408" i="82"/>
  <c r="E408" i="82"/>
  <c r="G404" i="82"/>
  <c r="F403" i="82"/>
  <c r="E403" i="82"/>
  <c r="F402" i="82"/>
  <c r="G401" i="82"/>
  <c r="F400" i="82"/>
  <c r="E400" i="82"/>
  <c r="E399" i="82"/>
  <c r="E398" i="82" s="1"/>
  <c r="G397" i="82"/>
  <c r="F396" i="82"/>
  <c r="E396" i="82"/>
  <c r="E395" i="82"/>
  <c r="E394" i="82" s="1"/>
  <c r="G393" i="82"/>
  <c r="F392" i="82"/>
  <c r="G392" i="82" s="1"/>
  <c r="E392" i="82"/>
  <c r="E391" i="82"/>
  <c r="E390" i="82" s="1"/>
  <c r="G389" i="82"/>
  <c r="F388" i="82"/>
  <c r="E388" i="82"/>
  <c r="E387" i="82"/>
  <c r="G385" i="82"/>
  <c r="F384" i="82"/>
  <c r="E384" i="82"/>
  <c r="F383" i="82"/>
  <c r="G381" i="82"/>
  <c r="G380" i="82"/>
  <c r="G379" i="82"/>
  <c r="G378" i="82"/>
  <c r="G377" i="82"/>
  <c r="G376" i="82"/>
  <c r="G375" i="82"/>
  <c r="G374" i="82"/>
  <c r="G373" i="82"/>
  <c r="G372" i="82"/>
  <c r="G371" i="82"/>
  <c r="F370" i="82"/>
  <c r="E370" i="82"/>
  <c r="G368" i="82"/>
  <c r="G367" i="82"/>
  <c r="G366" i="82"/>
  <c r="G365" i="82"/>
  <c r="G364" i="82"/>
  <c r="G363" i="82"/>
  <c r="G362" i="82"/>
  <c r="G361" i="82"/>
  <c r="G360" i="82"/>
  <c r="G359" i="82"/>
  <c r="G358" i="82"/>
  <c r="F357" i="82"/>
  <c r="G357" i="82" s="1"/>
  <c r="E357" i="82"/>
  <c r="E356" i="82" s="1"/>
  <c r="F356" i="82"/>
  <c r="G356" i="82" s="1"/>
  <c r="G354" i="82"/>
  <c r="F353" i="82"/>
  <c r="E353" i="82"/>
  <c r="G351" i="82"/>
  <c r="F350" i="82"/>
  <c r="E350" i="82"/>
  <c r="G348" i="82"/>
  <c r="G347" i="82"/>
  <c r="G346" i="82"/>
  <c r="G345" i="82"/>
  <c r="G344" i="82"/>
  <c r="G343" i="82"/>
  <c r="G341" i="82"/>
  <c r="G340" i="82"/>
  <c r="G339" i="82"/>
  <c r="G338" i="82"/>
  <c r="G337" i="82"/>
  <c r="G336" i="82"/>
  <c r="G335" i="82"/>
  <c r="G334" i="82"/>
  <c r="G333" i="82"/>
  <c r="F332" i="82"/>
  <c r="E332" i="82"/>
  <c r="G331" i="82"/>
  <c r="G330" i="82"/>
  <c r="G329" i="82"/>
  <c r="G328" i="82"/>
  <c r="G327" i="82"/>
  <c r="G326" i="82"/>
  <c r="E325" i="82"/>
  <c r="G323" i="82"/>
  <c r="G322" i="82"/>
  <c r="G321" i="82"/>
  <c r="G320" i="82"/>
  <c r="G319" i="82"/>
  <c r="G318" i="82"/>
  <c r="F318" i="82"/>
  <c r="E318" i="82"/>
  <c r="E317" i="82" s="1"/>
  <c r="E316" i="82" s="1"/>
  <c r="E315" i="82" s="1"/>
  <c r="G314" i="82"/>
  <c r="F313" i="82"/>
  <c r="E313" i="82"/>
  <c r="E312" i="82" s="1"/>
  <c r="E311" i="82" s="1"/>
  <c r="E310" i="82" s="1"/>
  <c r="G309" i="82"/>
  <c r="G308" i="82"/>
  <c r="F307" i="82"/>
  <c r="E307" i="82"/>
  <c r="G305" i="82"/>
  <c r="F304" i="82"/>
  <c r="E304" i="82"/>
  <c r="E303" i="82"/>
  <c r="E302" i="82" s="1"/>
  <c r="E301" i="82" s="1"/>
  <c r="G300" i="82"/>
  <c r="G299" i="82"/>
  <c r="G298" i="82"/>
  <c r="G297" i="82"/>
  <c r="G296" i="82"/>
  <c r="G295" i="82"/>
  <c r="F294" i="82"/>
  <c r="G294" i="82" s="1"/>
  <c r="E294" i="82"/>
  <c r="G292" i="82"/>
  <c r="G291" i="82"/>
  <c r="G290" i="82"/>
  <c r="G289" i="82"/>
  <c r="G288" i="82"/>
  <c r="G287" i="82"/>
  <c r="G286" i="82"/>
  <c r="F286" i="82"/>
  <c r="E286" i="82"/>
  <c r="F285" i="82"/>
  <c r="E285" i="82"/>
  <c r="G284" i="82"/>
  <c r="F283" i="82"/>
  <c r="E283" i="82"/>
  <c r="E282" i="82" s="1"/>
  <c r="F282" i="82"/>
  <c r="F281" i="82" s="1"/>
  <c r="F276" i="82"/>
  <c r="E276" i="82"/>
  <c r="G272" i="82"/>
  <c r="G271" i="82"/>
  <c r="F271" i="82"/>
  <c r="E271" i="82"/>
  <c r="F270" i="82"/>
  <c r="E270" i="82"/>
  <c r="G268" i="82"/>
  <c r="G267" i="82"/>
  <c r="F266" i="82"/>
  <c r="G266" i="82" s="1"/>
  <c r="E266" i="82"/>
  <c r="G263" i="82"/>
  <c r="G262" i="82"/>
  <c r="F261" i="82"/>
  <c r="F260" i="82" s="1"/>
  <c r="F259" i="82" s="1"/>
  <c r="E261" i="82"/>
  <c r="G256" i="82"/>
  <c r="F255" i="82"/>
  <c r="E255" i="82"/>
  <c r="G253" i="82"/>
  <c r="G252" i="82"/>
  <c r="G251" i="82"/>
  <c r="G250" i="82"/>
  <c r="F249" i="82"/>
  <c r="F248" i="82" s="1"/>
  <c r="E249" i="82"/>
  <c r="G244" i="82"/>
  <c r="G243" i="82"/>
  <c r="G242" i="82"/>
  <c r="F241" i="82"/>
  <c r="G241" i="82" s="1"/>
  <c r="E241" i="82"/>
  <c r="G239" i="82"/>
  <c r="G238" i="82"/>
  <c r="G237" i="82"/>
  <c r="G236" i="82"/>
  <c r="G235" i="82"/>
  <c r="G234" i="82"/>
  <c r="G233" i="82"/>
  <c r="G232" i="82"/>
  <c r="G231" i="82"/>
  <c r="G230" i="82"/>
  <c r="F229" i="82"/>
  <c r="G229" i="82" s="1"/>
  <c r="E229" i="82"/>
  <c r="E228" i="82"/>
  <c r="G226" i="82"/>
  <c r="G225" i="82"/>
  <c r="G224" i="82"/>
  <c r="G223" i="82"/>
  <c r="G222" i="82"/>
  <c r="G221" i="82"/>
  <c r="G220" i="82"/>
  <c r="G219" i="82"/>
  <c r="G218" i="82"/>
  <c r="G217" i="82"/>
  <c r="G216" i="82"/>
  <c r="G215" i="82"/>
  <c r="F214" i="82"/>
  <c r="E214" i="82"/>
  <c r="G212" i="82"/>
  <c r="G211" i="82"/>
  <c r="G210" i="82"/>
  <c r="G209" i="82"/>
  <c r="F208" i="82"/>
  <c r="F207" i="82" s="1"/>
  <c r="G207" i="82" s="1"/>
  <c r="E208" i="82"/>
  <c r="E207" i="82" s="1"/>
  <c r="E206" i="82" s="1"/>
  <c r="E205" i="82" s="1"/>
  <c r="G204" i="82"/>
  <c r="G203" i="82"/>
  <c r="G202" i="82"/>
  <c r="G201" i="82"/>
  <c r="G200" i="82"/>
  <c r="G199" i="82"/>
  <c r="G198" i="82"/>
  <c r="G197" i="82"/>
  <c r="G196" i="82"/>
  <c r="G195" i="82"/>
  <c r="G194" i="82"/>
  <c r="G193" i="82"/>
  <c r="G192" i="82"/>
  <c r="G191" i="82"/>
  <c r="G190" i="82"/>
  <c r="G189" i="82"/>
  <c r="G188" i="82"/>
  <c r="G187" i="82"/>
  <c r="G186" i="82"/>
  <c r="G185" i="82"/>
  <c r="G184" i="82"/>
  <c r="G183" i="82"/>
  <c r="G182" i="82"/>
  <c r="G181" i="82"/>
  <c r="G180" i="82"/>
  <c r="G179" i="82"/>
  <c r="G178" i="82"/>
  <c r="F177" i="82"/>
  <c r="G177" i="82" s="1"/>
  <c r="E177" i="82"/>
  <c r="E176" i="82"/>
  <c r="E175" i="82" s="1"/>
  <c r="E174" i="82" s="1"/>
  <c r="G173" i="82"/>
  <c r="G172" i="82"/>
  <c r="F172" i="82"/>
  <c r="E172" i="82"/>
  <c r="G170" i="82"/>
  <c r="G169" i="82"/>
  <c r="G167" i="82"/>
  <c r="F166" i="82"/>
  <c r="E166" i="82"/>
  <c r="G165" i="82"/>
  <c r="F164" i="82"/>
  <c r="E164" i="82"/>
  <c r="G164" i="82" s="1"/>
  <c r="G163" i="82"/>
  <c r="F162" i="82"/>
  <c r="G160" i="82"/>
  <c r="G159" i="82"/>
  <c r="G158" i="82"/>
  <c r="G157" i="82"/>
  <c r="F156" i="82"/>
  <c r="G156" i="82" s="1"/>
  <c r="E156" i="82"/>
  <c r="G152" i="82"/>
  <c r="F151" i="82"/>
  <c r="F150" i="82" s="1"/>
  <c r="E151" i="82"/>
  <c r="E150" i="82" s="1"/>
  <c r="E149" i="82" s="1"/>
  <c r="G148" i="82"/>
  <c r="G147" i="82"/>
  <c r="G146" i="82"/>
  <c r="F145" i="82"/>
  <c r="E145" i="82"/>
  <c r="E144" i="82" s="1"/>
  <c r="G142" i="82"/>
  <c r="G141" i="82"/>
  <c r="F140" i="82"/>
  <c r="E140" i="82"/>
  <c r="G138" i="82"/>
  <c r="G137" i="82"/>
  <c r="F136" i="82"/>
  <c r="E136" i="82"/>
  <c r="E135" i="82" s="1"/>
  <c r="E134" i="82" s="1"/>
  <c r="G132" i="82"/>
  <c r="G131" i="82"/>
  <c r="G130" i="82"/>
  <c r="G129" i="82"/>
  <c r="G128" i="82"/>
  <c r="G127" i="82"/>
  <c r="G126" i="82"/>
  <c r="G125" i="82"/>
  <c r="G124" i="82"/>
  <c r="G123" i="82"/>
  <c r="G122" i="82"/>
  <c r="G121" i="82"/>
  <c r="G120" i="82"/>
  <c r="G119" i="82"/>
  <c r="G118" i="82"/>
  <c r="G117" i="82"/>
  <c r="G116" i="82"/>
  <c r="G115" i="82"/>
  <c r="G114" i="82"/>
  <c r="G113" i="82"/>
  <c r="G112" i="82"/>
  <c r="G111" i="82"/>
  <c r="G110" i="82"/>
  <c r="G109" i="82"/>
  <c r="G108" i="82"/>
  <c r="G107" i="82"/>
  <c r="G106" i="82"/>
  <c r="G105" i="82"/>
  <c r="G104" i="82"/>
  <c r="G103" i="82"/>
  <c r="F102" i="82"/>
  <c r="E102" i="82"/>
  <c r="E101" i="82"/>
  <c r="E100" i="82" s="1"/>
  <c r="G99" i="82"/>
  <c r="F98" i="82"/>
  <c r="E98" i="82"/>
  <c r="G97" i="82"/>
  <c r="G96" i="82"/>
  <c r="G94" i="82"/>
  <c r="F94" i="82"/>
  <c r="F93" i="82" s="1"/>
  <c r="E94" i="82"/>
  <c r="E93" i="82" s="1"/>
  <c r="G92" i="82"/>
  <c r="G91" i="82"/>
  <c r="F90" i="82"/>
  <c r="E90" i="82"/>
  <c r="G90" i="82" s="1"/>
  <c r="G89" i="82"/>
  <c r="G88" i="82"/>
  <c r="G87" i="82"/>
  <c r="G86" i="82"/>
  <c r="G85" i="82"/>
  <c r="G84" i="82"/>
  <c r="G83" i="82"/>
  <c r="G82" i="82"/>
  <c r="G81" i="82"/>
  <c r="G80" i="82"/>
  <c r="F79" i="82"/>
  <c r="E79" i="82"/>
  <c r="G77" i="82"/>
  <c r="G76" i="82"/>
  <c r="G75" i="82"/>
  <c r="G74" i="82"/>
  <c r="F73" i="82"/>
  <c r="G73" i="82" s="1"/>
  <c r="E73" i="82"/>
  <c r="F72" i="82"/>
  <c r="G69" i="82"/>
  <c r="F68" i="82"/>
  <c r="F2283" i="82" s="1"/>
  <c r="E68" i="82"/>
  <c r="G66" i="82"/>
  <c r="G65" i="82"/>
  <c r="G64" i="82"/>
  <c r="G63" i="82"/>
  <c r="G62" i="82"/>
  <c r="G61" i="82"/>
  <c r="G60" i="82"/>
  <c r="G59" i="82"/>
  <c r="G58" i="82"/>
  <c r="G57" i="82"/>
  <c r="G56" i="82"/>
  <c r="F55" i="82"/>
  <c r="F47" i="82" s="1"/>
  <c r="E55" i="82"/>
  <c r="G53" i="82"/>
  <c r="G52" i="82"/>
  <c r="G51" i="82"/>
  <c r="G50" i="82"/>
  <c r="F48" i="82"/>
  <c r="E48" i="82"/>
  <c r="G48" i="82" s="1"/>
  <c r="G44" i="82"/>
  <c r="F43" i="82"/>
  <c r="G43" i="82" s="1"/>
  <c r="E43" i="82"/>
  <c r="E42" i="82"/>
  <c r="G40" i="82"/>
  <c r="F39" i="82"/>
  <c r="E39" i="82"/>
  <c r="G37" i="82"/>
  <c r="G36" i="82"/>
  <c r="G35" i="82"/>
  <c r="G34" i="82"/>
  <c r="G33" i="82"/>
  <c r="G32" i="82"/>
  <c r="G31" i="82"/>
  <c r="G30" i="82"/>
  <c r="G29" i="82"/>
  <c r="G28" i="82"/>
  <c r="G27" i="82"/>
  <c r="G26" i="82"/>
  <c r="G25" i="82"/>
  <c r="G24" i="82"/>
  <c r="G23" i="82"/>
  <c r="G22" i="82"/>
  <c r="G21" i="82"/>
  <c r="G20" i="82"/>
  <c r="F19" i="82"/>
  <c r="E19" i="82"/>
  <c r="G17" i="82"/>
  <c r="G16" i="82"/>
  <c r="G15" i="82"/>
  <c r="G14" i="82"/>
  <c r="G13" i="82"/>
  <c r="F12" i="82"/>
  <c r="E12" i="82"/>
  <c r="E11" i="82" s="1"/>
  <c r="E10" i="82" s="1"/>
  <c r="E9" i="82" s="1"/>
  <c r="E1442" i="82" l="1"/>
  <c r="G1443" i="82"/>
  <c r="G248" i="82"/>
  <c r="E1473" i="82"/>
  <c r="E1472" i="82" s="1"/>
  <c r="G1474" i="82"/>
  <c r="G1965" i="82"/>
  <c r="F1964" i="82"/>
  <c r="G1964" i="82" s="1"/>
  <c r="G12" i="82"/>
  <c r="E2283" i="82"/>
  <c r="E72" i="82"/>
  <c r="E71" i="82" s="1"/>
  <c r="G79" i="82"/>
  <c r="G136" i="82"/>
  <c r="G145" i="82"/>
  <c r="G166" i="82"/>
  <c r="G208" i="82"/>
  <c r="G249" i="82"/>
  <c r="G270" i="82"/>
  <c r="G307" i="82"/>
  <c r="G408" i="82"/>
  <c r="G467" i="82"/>
  <c r="G516" i="82"/>
  <c r="G519" i="82"/>
  <c r="G559" i="82"/>
  <c r="G590" i="82"/>
  <c r="G624" i="82"/>
  <c r="G629" i="82"/>
  <c r="G650" i="82"/>
  <c r="G667" i="82"/>
  <c r="G736" i="82"/>
  <c r="F787" i="82"/>
  <c r="G787" i="82" s="1"/>
  <c r="G937" i="82"/>
  <c r="G956" i="82"/>
  <c r="G1017" i="82"/>
  <c r="F1078" i="82"/>
  <c r="G1078" i="82" s="1"/>
  <c r="G1079" i="82"/>
  <c r="G1115" i="82"/>
  <c r="F1134" i="82"/>
  <c r="G1135" i="82"/>
  <c r="E1432" i="82"/>
  <c r="E1431" i="82" s="1"/>
  <c r="E1430" i="82" s="1"/>
  <c r="E1429" i="82" s="1"/>
  <c r="G1433" i="82"/>
  <c r="E1529" i="82"/>
  <c r="E1528" i="82" s="1"/>
  <c r="E1527" i="82" s="1"/>
  <c r="G1533" i="82"/>
  <c r="F1595" i="82"/>
  <c r="G1596" i="82"/>
  <c r="G1599" i="82"/>
  <c r="G1758" i="82"/>
  <c r="G1775" i="82"/>
  <c r="F1970" i="82"/>
  <c r="G1971" i="82"/>
  <c r="G2070" i="82"/>
  <c r="F2069" i="82"/>
  <c r="G1670" i="82"/>
  <c r="F1669" i="82"/>
  <c r="G2283" i="82"/>
  <c r="G353" i="82"/>
  <c r="E520" i="82"/>
  <c r="E525" i="82"/>
  <c r="G525" i="82" s="1"/>
  <c r="E609" i="82"/>
  <c r="E608" i="82" s="1"/>
  <c r="E607" i="82" s="1"/>
  <c r="G655" i="82"/>
  <c r="G659" i="82"/>
  <c r="E673" i="82"/>
  <c r="G716" i="82"/>
  <c r="G800" i="82"/>
  <c r="G808" i="82"/>
  <c r="G855" i="82"/>
  <c r="E924" i="82"/>
  <c r="G992" i="82"/>
  <c r="G995" i="82"/>
  <c r="G1070" i="82"/>
  <c r="G1130" i="82"/>
  <c r="G1415" i="82"/>
  <c r="G1460" i="82"/>
  <c r="E1467" i="82"/>
  <c r="G1467" i="82" s="1"/>
  <c r="G1468" i="82"/>
  <c r="G1530" i="82"/>
  <c r="G1600" i="82"/>
  <c r="G1726" i="82"/>
  <c r="G1735" i="82"/>
  <c r="G1737" i="82"/>
  <c r="G1746" i="82"/>
  <c r="E1863" i="82"/>
  <c r="E1862" i="82" s="1"/>
  <c r="E1861" i="82" s="1"/>
  <c r="G1864" i="82"/>
  <c r="G1981" i="82"/>
  <c r="E1980" i="82"/>
  <c r="E1979" i="82" s="1"/>
  <c r="E1978" i="82" s="1"/>
  <c r="G2246" i="82"/>
  <c r="E2245" i="82"/>
  <c r="E2244" i="82" s="1"/>
  <c r="G2264" i="82"/>
  <c r="F2268" i="82"/>
  <c r="G2268" i="82" s="1"/>
  <c r="G2269" i="82"/>
  <c r="G515" i="82"/>
  <c r="F837" i="82"/>
  <c r="G837" i="82" s="1"/>
  <c r="G842" i="82"/>
  <c r="G39" i="82"/>
  <c r="G151" i="82"/>
  <c r="E162" i="82"/>
  <c r="G162" i="82" s="1"/>
  <c r="G214" i="82"/>
  <c r="E248" i="82"/>
  <c r="E247" i="82" s="1"/>
  <c r="E246" i="82" s="1"/>
  <c r="E245" i="82" s="1"/>
  <c r="G255" i="82"/>
  <c r="G261" i="82"/>
  <c r="G350" i="82"/>
  <c r="G370" i="82"/>
  <c r="G458" i="82"/>
  <c r="F639" i="82"/>
  <c r="F2289" i="82" s="1"/>
  <c r="F662" i="82"/>
  <c r="F661" i="82" s="1"/>
  <c r="G763" i="82"/>
  <c r="G814" i="82"/>
  <c r="G970" i="82"/>
  <c r="G1057" i="82"/>
  <c r="E1206" i="82"/>
  <c r="E1205" i="82" s="1"/>
  <c r="G1324" i="82"/>
  <c r="G1337" i="82"/>
  <c r="G1408" i="82"/>
  <c r="E1488" i="82"/>
  <c r="F1762" i="82"/>
  <c r="G1763" i="82"/>
  <c r="F1857" i="82"/>
  <c r="G1858" i="82"/>
  <c r="G1868" i="82"/>
  <c r="F1867" i="82"/>
  <c r="G1867" i="82" s="1"/>
  <c r="E1948" i="82"/>
  <c r="E1947" i="82" s="1"/>
  <c r="E1946" i="82" s="1"/>
  <c r="G1949" i="82"/>
  <c r="G2061" i="82"/>
  <c r="F2060" i="82"/>
  <c r="F2121" i="82"/>
  <c r="F2114" i="82" s="1"/>
  <c r="G2122" i="82"/>
  <c r="F2150" i="82"/>
  <c r="G2150" i="82" s="1"/>
  <c r="G2151" i="82"/>
  <c r="E2181" i="82"/>
  <c r="E2180" i="82" s="1"/>
  <c r="G2180" i="82" s="1"/>
  <c r="G2186" i="82"/>
  <c r="E1886" i="82"/>
  <c r="G1948" i="82"/>
  <c r="E2033" i="82"/>
  <c r="E2032" i="82" s="1"/>
  <c r="E2031" i="82" s="1"/>
  <c r="G2037" i="82"/>
  <c r="G2131" i="82"/>
  <c r="G2136" i="82"/>
  <c r="G2158" i="82"/>
  <c r="E2249" i="82"/>
  <c r="E2248" i="82" s="1"/>
  <c r="G830" i="82"/>
  <c r="E860" i="82"/>
  <c r="E859" i="82" s="1"/>
  <c r="E858" i="82" s="1"/>
  <c r="G865" i="82"/>
  <c r="G867" i="82"/>
  <c r="G877" i="82"/>
  <c r="G930" i="82"/>
  <c r="G948" i="82"/>
  <c r="G966" i="82"/>
  <c r="G979" i="82"/>
  <c r="G1029" i="82"/>
  <c r="E1190" i="82"/>
  <c r="E1189" i="82" s="1"/>
  <c r="E1188" i="82" s="1"/>
  <c r="G1197" i="82"/>
  <c r="G1238" i="82"/>
  <c r="E1260" i="82"/>
  <c r="G1397" i="82"/>
  <c r="G1440" i="82"/>
  <c r="G1448" i="82"/>
  <c r="G1510" i="82"/>
  <c r="G1525" i="82"/>
  <c r="G1612" i="82"/>
  <c r="G1724" i="82"/>
  <c r="G1729" i="82"/>
  <c r="G1739" i="82"/>
  <c r="G1741" i="82"/>
  <c r="G1751" i="82"/>
  <c r="G1753" i="82"/>
  <c r="G1781" i="82"/>
  <c r="E1990" i="82"/>
  <c r="E1989" i="82" s="1"/>
  <c r="E1988" i="82" s="1"/>
  <c r="G2027" i="82"/>
  <c r="G803" i="82"/>
  <c r="G813" i="82"/>
  <c r="E864" i="82"/>
  <c r="E964" i="82"/>
  <c r="G1203" i="82"/>
  <c r="G1257" i="82"/>
  <c r="E1457" i="82"/>
  <c r="G1545" i="82"/>
  <c r="G1601" i="82"/>
  <c r="G1669" i="82"/>
  <c r="G1697" i="82"/>
  <c r="G1740" i="82"/>
  <c r="G1745" i="82"/>
  <c r="G1752" i="82"/>
  <c r="G1755" i="82"/>
  <c r="G1757" i="82"/>
  <c r="G1913" i="82"/>
  <c r="E1919" i="82"/>
  <c r="E1918" i="82" s="1"/>
  <c r="E1917" i="82" s="1"/>
  <c r="G1927" i="82"/>
  <c r="G1990" i="82"/>
  <c r="F2065" i="82"/>
  <c r="G2065" i="82" s="1"/>
  <c r="G2188" i="82"/>
  <c r="G2225" i="82"/>
  <c r="G2234" i="82"/>
  <c r="F2250" i="82"/>
  <c r="G1091" i="82"/>
  <c r="G1103" i="82"/>
  <c r="G400" i="82"/>
  <c r="E2282" i="82"/>
  <c r="E497" i="82"/>
  <c r="E281" i="82"/>
  <c r="E280" i="82" s="1"/>
  <c r="G282" i="82"/>
  <c r="E133" i="82"/>
  <c r="G281" i="82"/>
  <c r="F46" i="82"/>
  <c r="E70" i="82"/>
  <c r="G93" i="82"/>
  <c r="G150" i="82"/>
  <c r="G332" i="82"/>
  <c r="F325" i="82"/>
  <c r="G494" i="82"/>
  <c r="F493" i="82"/>
  <c r="G493" i="82" s="1"/>
  <c r="E787" i="82"/>
  <c r="G802" i="82"/>
  <c r="G999" i="82"/>
  <c r="E982" i="82"/>
  <c r="G1459" i="82"/>
  <c r="F1458" i="82"/>
  <c r="F11" i="82"/>
  <c r="G19" i="82"/>
  <c r="F42" i="82"/>
  <c r="E47" i="82"/>
  <c r="E46" i="82" s="1"/>
  <c r="E45" i="82" s="1"/>
  <c r="G55" i="82"/>
  <c r="F71" i="82"/>
  <c r="G98" i="82"/>
  <c r="F135" i="82"/>
  <c r="F2282" i="82"/>
  <c r="F176" i="82"/>
  <c r="F206" i="82"/>
  <c r="F228" i="82"/>
  <c r="G228" i="82" s="1"/>
  <c r="F247" i="82"/>
  <c r="F258" i="82"/>
  <c r="F280" i="82"/>
  <c r="G280" i="82" s="1"/>
  <c r="G285" i="82"/>
  <c r="G304" i="82"/>
  <c r="F303" i="82"/>
  <c r="G313" i="82"/>
  <c r="F312" i="82"/>
  <c r="G388" i="82"/>
  <c r="F387" i="82"/>
  <c r="G387" i="82" s="1"/>
  <c r="G420" i="82"/>
  <c r="E419" i="82"/>
  <c r="E530" i="82"/>
  <c r="G568" i="82"/>
  <c r="E567" i="82"/>
  <c r="G567" i="82" s="1"/>
  <c r="G640" i="82"/>
  <c r="E639" i="82"/>
  <c r="G673" i="82"/>
  <c r="G850" i="82"/>
  <c r="G873" i="82"/>
  <c r="G1069" i="82"/>
  <c r="F1068" i="82"/>
  <c r="G1102" i="82"/>
  <c r="G1101" i="82"/>
  <c r="G1111" i="82"/>
  <c r="F1110" i="82"/>
  <c r="G1125" i="82"/>
  <c r="E1124" i="82"/>
  <c r="E1118" i="82" s="1"/>
  <c r="E1117" i="82" s="1"/>
  <c r="G1160" i="82"/>
  <c r="F1159" i="82"/>
  <c r="G1159" i="82" s="1"/>
  <c r="E1168" i="82"/>
  <c r="E1167" i="82" s="1"/>
  <c r="E1166" i="82" s="1"/>
  <c r="G1169" i="82"/>
  <c r="F628" i="82"/>
  <c r="G630" i="82"/>
  <c r="F982" i="82"/>
  <c r="G990" i="82"/>
  <c r="G140" i="82"/>
  <c r="F144" i="82"/>
  <c r="G144" i="82" s="1"/>
  <c r="E260" i="82"/>
  <c r="G283" i="82"/>
  <c r="G453" i="82"/>
  <c r="E452" i="82"/>
  <c r="G452" i="82" s="1"/>
  <c r="G501" i="82"/>
  <c r="F499" i="82"/>
  <c r="G522" i="82"/>
  <c r="F521" i="82"/>
  <c r="G710" i="82"/>
  <c r="F761" i="82"/>
  <c r="G862" i="82"/>
  <c r="F861" i="82"/>
  <c r="G941" i="82"/>
  <c r="F940" i="82"/>
  <c r="G968" i="82"/>
  <c r="F964" i="82"/>
  <c r="G964" i="82" s="1"/>
  <c r="G1076" i="82"/>
  <c r="E1075" i="82"/>
  <c r="E1074" i="82" s="1"/>
  <c r="G1095" i="82"/>
  <c r="E1094" i="82"/>
  <c r="G1094" i="82" s="1"/>
  <c r="F1098" i="82"/>
  <c r="G1381" i="82"/>
  <c r="E1380" i="82"/>
  <c r="E1379" i="82" s="1"/>
  <c r="E1378" i="82" s="1"/>
  <c r="G1494" i="82"/>
  <c r="F1493" i="82"/>
  <c r="G1541" i="82"/>
  <c r="F1540" i="82"/>
  <c r="G384" i="82"/>
  <c r="E383" i="82"/>
  <c r="E382" i="82" s="1"/>
  <c r="G403" i="82"/>
  <c r="E402" i="82"/>
  <c r="G414" i="82"/>
  <c r="E407" i="82"/>
  <c r="E406" i="82" s="1"/>
  <c r="E405" i="82" s="1"/>
  <c r="G419" i="82"/>
  <c r="G600" i="82"/>
  <c r="G654" i="82"/>
  <c r="F653" i="82"/>
  <c r="G912" i="82"/>
  <c r="F911" i="82"/>
  <c r="G911" i="82" s="1"/>
  <c r="G1050" i="82"/>
  <c r="E1042" i="82"/>
  <c r="E1041" i="82" s="1"/>
  <c r="G1134" i="82"/>
  <c r="F1133" i="82"/>
  <c r="G1175" i="82"/>
  <c r="F1168" i="82"/>
  <c r="G68" i="82"/>
  <c r="E2289" i="82"/>
  <c r="F101" i="82"/>
  <c r="G102" i="82"/>
  <c r="F149" i="82"/>
  <c r="G149" i="82" s="1"/>
  <c r="F155" i="82"/>
  <c r="G396" i="82"/>
  <c r="F395" i="82"/>
  <c r="G402" i="82"/>
  <c r="G429" i="82"/>
  <c r="E428" i="82"/>
  <c r="E427" i="82" s="1"/>
  <c r="G533" i="82"/>
  <c r="F532" i="82"/>
  <c r="E662" i="82"/>
  <c r="E661" i="82" s="1"/>
  <c r="E647" i="82" s="1"/>
  <c r="G723" i="82"/>
  <c r="E722" i="82"/>
  <c r="E721" i="82" s="1"/>
  <c r="E720" i="82" s="1"/>
  <c r="E734" i="82"/>
  <c r="E733" i="82" s="1"/>
  <c r="G749" i="82"/>
  <c r="F748" i="82"/>
  <c r="G748" i="82" s="1"/>
  <c r="G754" i="82"/>
  <c r="E753" i="82"/>
  <c r="G845" i="82"/>
  <c r="F844" i="82"/>
  <c r="G849" i="82"/>
  <c r="G866" i="82"/>
  <c r="G927" i="82"/>
  <c r="F926" i="82"/>
  <c r="F2290" i="82"/>
  <c r="G1054" i="82"/>
  <c r="G1087" i="82"/>
  <c r="E1086" i="82"/>
  <c r="E1081" i="82" s="1"/>
  <c r="G1090" i="82"/>
  <c r="F1089" i="82"/>
  <c r="G1089" i="82" s="1"/>
  <c r="E1108" i="82"/>
  <c r="E1476" i="82"/>
  <c r="F1528" i="82"/>
  <c r="F1907" i="82"/>
  <c r="G1907" i="82" s="1"/>
  <c r="G1908" i="82"/>
  <c r="G2069" i="82"/>
  <c r="F2068" i="82"/>
  <c r="G2068" i="82" s="1"/>
  <c r="F2080" i="82"/>
  <c r="G2080" i="82" s="1"/>
  <c r="G2081" i="82"/>
  <c r="G1330" i="82"/>
  <c r="F1329" i="82"/>
  <c r="G1366" i="82"/>
  <c r="E1365" i="82"/>
  <c r="G1365" i="82" s="1"/>
  <c r="G1478" i="82"/>
  <c r="E1477" i="82"/>
  <c r="G1477" i="82" s="1"/>
  <c r="G1499" i="82"/>
  <c r="E1498" i="82"/>
  <c r="E1497" i="82" s="1"/>
  <c r="E1496" i="82" s="1"/>
  <c r="G1506" i="82"/>
  <c r="F1505" i="82"/>
  <c r="G1505" i="82" s="1"/>
  <c r="F1722" i="82"/>
  <c r="G1725" i="82"/>
  <c r="G1774" i="82"/>
  <c r="F1773" i="82"/>
  <c r="G1863" i="82"/>
  <c r="F1862" i="82"/>
  <c r="G1986" i="82"/>
  <c r="E1985" i="82"/>
  <c r="G1164" i="82"/>
  <c r="F1163" i="82"/>
  <c r="G1318" i="82"/>
  <c r="F1317" i="82"/>
  <c r="G1317" i="82" s="1"/>
  <c r="G1432" i="82"/>
  <c r="F1431" i="82"/>
  <c r="G1473" i="82"/>
  <c r="F1472" i="82"/>
  <c r="G1472" i="82" s="1"/>
  <c r="G1482" i="82"/>
  <c r="F1481" i="82"/>
  <c r="G1514" i="82"/>
  <c r="F1513" i="82"/>
  <c r="E1547" i="82"/>
  <c r="E1538" i="82" s="1"/>
  <c r="G1677" i="82"/>
  <c r="E1676" i="82"/>
  <c r="F391" i="82"/>
  <c r="F399" i="82"/>
  <c r="F407" i="82"/>
  <c r="F427" i="82"/>
  <c r="F457" i="82"/>
  <c r="F566" i="82"/>
  <c r="E593" i="82"/>
  <c r="G593" i="82" s="1"/>
  <c r="F604" i="82"/>
  <c r="G604" i="82" s="1"/>
  <c r="F610" i="82"/>
  <c r="F649" i="82"/>
  <c r="F721" i="82"/>
  <c r="F735" i="82"/>
  <c r="F829" i="82"/>
  <c r="F848" i="82"/>
  <c r="F864" i="82"/>
  <c r="G864" i="82" s="1"/>
  <c r="F936" i="82"/>
  <c r="G936" i="82" s="1"/>
  <c r="E961" i="82"/>
  <c r="E960" i="82" s="1"/>
  <c r="F1041" i="82"/>
  <c r="G1041" i="82" s="1"/>
  <c r="E2290" i="82"/>
  <c r="F1081" i="82"/>
  <c r="F1093" i="82"/>
  <c r="E1099" i="82"/>
  <c r="E1098" i="82" s="1"/>
  <c r="F1114" i="82"/>
  <c r="F1120" i="82"/>
  <c r="F1129" i="82"/>
  <c r="G1186" i="82"/>
  <c r="F1185" i="82"/>
  <c r="G1190" i="82"/>
  <c r="F1189" i="82"/>
  <c r="G1262" i="82"/>
  <c r="F1261" i="82"/>
  <c r="F1380" i="82"/>
  <c r="G1387" i="82"/>
  <c r="G1403" i="82"/>
  <c r="E1396" i="82"/>
  <c r="E1395" i="82" s="1"/>
  <c r="E1394" i="82" s="1"/>
  <c r="G1425" i="82"/>
  <c r="E1424" i="82"/>
  <c r="G1424" i="82" s="1"/>
  <c r="F1808" i="82"/>
  <c r="G1815" i="82"/>
  <c r="G2098" i="82"/>
  <c r="E2097" i="82"/>
  <c r="F2111" i="82"/>
  <c r="G2111" i="82" s="1"/>
  <c r="G2112" i="82"/>
  <c r="G1549" i="82"/>
  <c r="F1548" i="82"/>
  <c r="G1678" i="82"/>
  <c r="E1722" i="82"/>
  <c r="E1688" i="82" s="1"/>
  <c r="E1687" i="82" s="1"/>
  <c r="G1809" i="82"/>
  <c r="E1808" i="82"/>
  <c r="E1807" i="82" s="1"/>
  <c r="E1806" i="82" s="1"/>
  <c r="G1828" i="82"/>
  <c r="F1827" i="82"/>
  <c r="E1852" i="82"/>
  <c r="G1857" i="82"/>
  <c r="G1970" i="82"/>
  <c r="F1969" i="82"/>
  <c r="F2025" i="82"/>
  <c r="G2026" i="82"/>
  <c r="G2047" i="82"/>
  <c r="F2046" i="82"/>
  <c r="G2046" i="82" s="1"/>
  <c r="E2050" i="82"/>
  <c r="G2051" i="82"/>
  <c r="F2004" i="82"/>
  <c r="G2005" i="82"/>
  <c r="F2127" i="82"/>
  <c r="G2128" i="82"/>
  <c r="F1207" i="82"/>
  <c r="F1256" i="82"/>
  <c r="G1256" i="82" s="1"/>
  <c r="F1396" i="82"/>
  <c r="F1452" i="82"/>
  <c r="F1485" i="82"/>
  <c r="F1497" i="82"/>
  <c r="F1509" i="82"/>
  <c r="F1524" i="82"/>
  <c r="F1544" i="82"/>
  <c r="G1595" i="82"/>
  <c r="G1605" i="82"/>
  <c r="F1604" i="82"/>
  <c r="F1676" i="82"/>
  <c r="G1684" i="82"/>
  <c r="G1690" i="82"/>
  <c r="F1689" i="82"/>
  <c r="G1762" i="82"/>
  <c r="G1769" i="82"/>
  <c r="G1802" i="82"/>
  <c r="F1801" i="82"/>
  <c r="G1801" i="82" s="1"/>
  <c r="G1854" i="82"/>
  <c r="F1853" i="82"/>
  <c r="G1979" i="82"/>
  <c r="F1978" i="82"/>
  <c r="F2014" i="82"/>
  <c r="G2015" i="82"/>
  <c r="G2050" i="82"/>
  <c r="G2106" i="82"/>
  <c r="F2105" i="82"/>
  <c r="G2105" i="82" s="1"/>
  <c r="E2125" i="82"/>
  <c r="E2142" i="82"/>
  <c r="F1989" i="82"/>
  <c r="G2021" i="82"/>
  <c r="G2033" i="82"/>
  <c r="G2052" i="82"/>
  <c r="G2181" i="82"/>
  <c r="G2195" i="82"/>
  <c r="F2194" i="82"/>
  <c r="G2200" i="82"/>
  <c r="G2245" i="82"/>
  <c r="F2244" i="82"/>
  <c r="G2074" i="82"/>
  <c r="G2103" i="82"/>
  <c r="E2102" i="82"/>
  <c r="G2102" i="82" s="1"/>
  <c r="G2107" i="82"/>
  <c r="G2121" i="82"/>
  <c r="G2237" i="82"/>
  <c r="E2233" i="82"/>
  <c r="G2285" i="82"/>
  <c r="G1888" i="82"/>
  <c r="F1887" i="82"/>
  <c r="G1920" i="82"/>
  <c r="F1919" i="82"/>
  <c r="F1947" i="82"/>
  <c r="G1976" i="82"/>
  <c r="G1996" i="82"/>
  <c r="G2006" i="82"/>
  <c r="G2034" i="82"/>
  <c r="G2092" i="82"/>
  <c r="E2091" i="82"/>
  <c r="G2116" i="82"/>
  <c r="E2115" i="82"/>
  <c r="F2145" i="82"/>
  <c r="F2280" i="82" s="1"/>
  <c r="G2146" i="82"/>
  <c r="G2273" i="82"/>
  <c r="F2272" i="82"/>
  <c r="F2199" i="82"/>
  <c r="E1327" i="82" l="1"/>
  <c r="G1081" i="82"/>
  <c r="G2289" i="82"/>
  <c r="E155" i="82"/>
  <c r="E154" i="82" s="1"/>
  <c r="E153" i="82" s="1"/>
  <c r="E8" i="82" s="1"/>
  <c r="G639" i="82"/>
  <c r="G1980" i="82"/>
  <c r="E1456" i="82"/>
  <c r="F1074" i="82"/>
  <c r="F1073" i="82" s="1"/>
  <c r="E752" i="82"/>
  <c r="E751" i="82" s="1"/>
  <c r="G1099" i="82"/>
  <c r="F960" i="82"/>
  <c r="E1127" i="82"/>
  <c r="G1498" i="82"/>
  <c r="E496" i="82"/>
  <c r="E2243" i="82"/>
  <c r="G2060" i="82"/>
  <c r="F2059" i="82"/>
  <c r="G2059" i="82" s="1"/>
  <c r="G1978" i="82"/>
  <c r="E1805" i="82"/>
  <c r="G1529" i="82"/>
  <c r="G2290" i="82"/>
  <c r="E2281" i="82"/>
  <c r="G722" i="82"/>
  <c r="F2249" i="82"/>
  <c r="G2250" i="82"/>
  <c r="E1860" i="82"/>
  <c r="G2032" i="82"/>
  <c r="G72" i="82"/>
  <c r="G2282" i="82"/>
  <c r="F382" i="82"/>
  <c r="G382" i="82" s="1"/>
  <c r="E2090" i="82"/>
  <c r="G2090" i="82" s="1"/>
  <c r="G2091" i="82"/>
  <c r="G2127" i="82"/>
  <c r="F2126" i="82"/>
  <c r="G1969" i="82"/>
  <c r="F1968" i="82"/>
  <c r="G1380" i="82"/>
  <c r="F1379" i="82"/>
  <c r="G1129" i="82"/>
  <c r="F1128" i="82"/>
  <c r="G848" i="82"/>
  <c r="F847" i="82"/>
  <c r="G847" i="82" s="1"/>
  <c r="G1722" i="82"/>
  <c r="G1168" i="82"/>
  <c r="F1167" i="82"/>
  <c r="G653" i="82"/>
  <c r="F652" i="82"/>
  <c r="G652" i="82" s="1"/>
  <c r="G940" i="82"/>
  <c r="F939" i="82"/>
  <c r="G939" i="82" s="1"/>
  <c r="G521" i="82"/>
  <c r="F520" i="82"/>
  <c r="G520" i="82" s="1"/>
  <c r="E259" i="82"/>
  <c r="G260" i="82"/>
  <c r="F2284" i="82"/>
  <c r="G1110" i="82"/>
  <c r="F1109" i="82"/>
  <c r="G206" i="82"/>
  <c r="F205" i="82"/>
  <c r="G205" i="82" s="1"/>
  <c r="E2284" i="82"/>
  <c r="F45" i="82"/>
  <c r="G45" i="82" s="1"/>
  <c r="G46" i="82"/>
  <c r="G2199" i="82"/>
  <c r="F2198" i="82"/>
  <c r="F2144" i="82"/>
  <c r="G2145" i="82"/>
  <c r="G1887" i="82"/>
  <c r="F1886" i="82"/>
  <c r="G1886" i="82" s="1"/>
  <c r="G1989" i="82"/>
  <c r="F1988" i="82"/>
  <c r="G1988" i="82" s="1"/>
  <c r="G1853" i="82"/>
  <c r="F1852" i="82"/>
  <c r="G1852" i="82" s="1"/>
  <c r="G1497" i="82"/>
  <c r="F1496" i="82"/>
  <c r="G1496" i="82" s="1"/>
  <c r="F1119" i="82"/>
  <c r="G1120" i="82"/>
  <c r="E959" i="82"/>
  <c r="E958" i="82" s="1"/>
  <c r="F828" i="82"/>
  <c r="G828" i="82" s="1"/>
  <c r="G829" i="82"/>
  <c r="F609" i="82"/>
  <c r="G610" i="82"/>
  <c r="F456" i="82"/>
  <c r="G457" i="82"/>
  <c r="F390" i="82"/>
  <c r="G390" i="82" s="1"/>
  <c r="G391" i="82"/>
  <c r="F1476" i="82"/>
  <c r="G1476" i="82" s="1"/>
  <c r="G1481" i="82"/>
  <c r="G1431" i="82"/>
  <c r="F1430" i="82"/>
  <c r="E1984" i="82"/>
  <c r="G1985" i="82"/>
  <c r="G1773" i="82"/>
  <c r="F1772" i="82"/>
  <c r="G1772" i="82" s="1"/>
  <c r="G1329" i="82"/>
  <c r="F1328" i="82"/>
  <c r="G1042" i="82"/>
  <c r="E719" i="82"/>
  <c r="G395" i="82"/>
  <c r="F394" i="82"/>
  <c r="G394" i="82" s="1"/>
  <c r="G1540" i="82"/>
  <c r="F1539" i="82"/>
  <c r="E1093" i="82"/>
  <c r="E1073" i="82" s="1"/>
  <c r="F753" i="82"/>
  <c r="G761" i="82"/>
  <c r="G961" i="82"/>
  <c r="G1075" i="82"/>
  <c r="G303" i="82"/>
  <c r="F302" i="82"/>
  <c r="G176" i="82"/>
  <c r="F175" i="82"/>
  <c r="G42" i="82"/>
  <c r="G1458" i="82"/>
  <c r="F1457" i="82"/>
  <c r="E2288" i="82"/>
  <c r="E2287" i="82" s="1"/>
  <c r="G47" i="82"/>
  <c r="F1508" i="82"/>
  <c r="G1508" i="82" s="1"/>
  <c r="G1509" i="82"/>
  <c r="G1827" i="82"/>
  <c r="F1826" i="82"/>
  <c r="G1826" i="82" s="1"/>
  <c r="G1189" i="82"/>
  <c r="F1188" i="82"/>
  <c r="G1188" i="82" s="1"/>
  <c r="G649" i="82"/>
  <c r="F648" i="82"/>
  <c r="G532" i="82"/>
  <c r="F531" i="82"/>
  <c r="F154" i="82"/>
  <c r="E2114" i="82"/>
  <c r="G2114" i="82" s="1"/>
  <c r="G2115" i="82"/>
  <c r="G2014" i="82"/>
  <c r="F2013" i="82"/>
  <c r="G2013" i="82" s="1"/>
  <c r="G1676" i="82"/>
  <c r="F1543" i="82"/>
  <c r="G1543" i="82" s="1"/>
  <c r="G1544" i="82"/>
  <c r="G1207" i="82"/>
  <c r="F1206" i="82"/>
  <c r="G1808" i="82"/>
  <c r="F1807" i="82"/>
  <c r="G1261" i="82"/>
  <c r="F1260" i="82"/>
  <c r="G1260" i="82" s="1"/>
  <c r="F1184" i="82"/>
  <c r="G1185" i="82"/>
  <c r="F1113" i="82"/>
  <c r="G1113" i="82" s="1"/>
  <c r="G1114" i="82"/>
  <c r="F734" i="82"/>
  <c r="G735" i="82"/>
  <c r="F426" i="82"/>
  <c r="G427" i="82"/>
  <c r="F1162" i="82"/>
  <c r="G1162" i="82" s="1"/>
  <c r="G1163" i="82"/>
  <c r="G1528" i="82"/>
  <c r="F1527" i="82"/>
  <c r="G1527" i="82" s="1"/>
  <c r="G926" i="82"/>
  <c r="F925" i="82"/>
  <c r="G844" i="82"/>
  <c r="F843" i="82"/>
  <c r="G843" i="82" s="1"/>
  <c r="E426" i="82"/>
  <c r="E425" i="82" s="1"/>
  <c r="G1133" i="82"/>
  <c r="F1132" i="82"/>
  <c r="G1132" i="82" s="1"/>
  <c r="G861" i="82"/>
  <c r="F860" i="82"/>
  <c r="G499" i="82"/>
  <c r="F498" i="82"/>
  <c r="G428" i="82"/>
  <c r="G1068" i="82"/>
  <c r="F1067" i="82"/>
  <c r="G247" i="82"/>
  <c r="F246" i="82"/>
  <c r="G71" i="82"/>
  <c r="F70" i="82"/>
  <c r="G70" i="82" s="1"/>
  <c r="F2281" i="82"/>
  <c r="E2232" i="82"/>
  <c r="G2233" i="82"/>
  <c r="F1395" i="82"/>
  <c r="G1396" i="82"/>
  <c r="F565" i="82"/>
  <c r="G399" i="82"/>
  <c r="F398" i="82"/>
  <c r="G398" i="82" s="1"/>
  <c r="G960" i="82"/>
  <c r="F959" i="82"/>
  <c r="G2272" i="82"/>
  <c r="F2271" i="82"/>
  <c r="G2271" i="82" s="1"/>
  <c r="G1947" i="82"/>
  <c r="F1946" i="82"/>
  <c r="G1946" i="82" s="1"/>
  <c r="G2194" i="82"/>
  <c r="F2193" i="82"/>
  <c r="F2073" i="82"/>
  <c r="G1485" i="82"/>
  <c r="F1484" i="82"/>
  <c r="G1484" i="82" s="1"/>
  <c r="G1919" i="82"/>
  <c r="F1918" i="82"/>
  <c r="G2244" i="82"/>
  <c r="F2031" i="82"/>
  <c r="G2031" i="82" s="1"/>
  <c r="G1689" i="82"/>
  <c r="F1688" i="82"/>
  <c r="G1604" i="82"/>
  <c r="F1603" i="82"/>
  <c r="G1603" i="82" s="1"/>
  <c r="G1524" i="82"/>
  <c r="F1523" i="82"/>
  <c r="F1442" i="82"/>
  <c r="G1442" i="82" s="1"/>
  <c r="G1452" i="82"/>
  <c r="F2003" i="82"/>
  <c r="G2003" i="82" s="1"/>
  <c r="G2004" i="82"/>
  <c r="G2025" i="82"/>
  <c r="F2024" i="82"/>
  <c r="G2024" i="82" s="1"/>
  <c r="F1547" i="82"/>
  <c r="G1547" i="82" s="1"/>
  <c r="G1548" i="82"/>
  <c r="E2096" i="82"/>
  <c r="G2096" i="82" s="1"/>
  <c r="G2097" i="82"/>
  <c r="F720" i="82"/>
  <c r="G721" i="82"/>
  <c r="G407" i="82"/>
  <c r="F406" i="82"/>
  <c r="E1675" i="82"/>
  <c r="G1513" i="82"/>
  <c r="F1512" i="82"/>
  <c r="G1512" i="82" s="1"/>
  <c r="G1862" i="82"/>
  <c r="F1861" i="82"/>
  <c r="G383" i="82"/>
  <c r="G101" i="82"/>
  <c r="F100" i="82"/>
  <c r="G100" i="82" s="1"/>
  <c r="E2280" i="82"/>
  <c r="F599" i="82"/>
  <c r="G599" i="82" s="1"/>
  <c r="G1493" i="82"/>
  <c r="F1488" i="82"/>
  <c r="G1488" i="82" s="1"/>
  <c r="G1098" i="82"/>
  <c r="G1086" i="82"/>
  <c r="G982" i="82"/>
  <c r="G628" i="82"/>
  <c r="F627" i="82"/>
  <c r="G627" i="82" s="1"/>
  <c r="G661" i="82"/>
  <c r="E566" i="82"/>
  <c r="E565" i="82" s="1"/>
  <c r="E529" i="82" s="1"/>
  <c r="G312" i="82"/>
  <c r="F311" i="82"/>
  <c r="G135" i="82"/>
  <c r="F134" i="82"/>
  <c r="G11" i="82"/>
  <c r="F10" i="82"/>
  <c r="G1124" i="82"/>
  <c r="F317" i="82"/>
  <c r="G325" i="82"/>
  <c r="G662" i="82"/>
  <c r="E2279" i="82" l="1"/>
  <c r="G1074" i="82"/>
  <c r="G1093" i="82"/>
  <c r="G2281" i="82"/>
  <c r="G155" i="82"/>
  <c r="G2249" i="82"/>
  <c r="F2248" i="82"/>
  <c r="E2231" i="82"/>
  <c r="G2232" i="82"/>
  <c r="G246" i="82"/>
  <c r="F245" i="82"/>
  <c r="G245" i="82" s="1"/>
  <c r="G1206" i="82"/>
  <c r="F1205" i="82"/>
  <c r="G1205" i="82" s="1"/>
  <c r="G531" i="82"/>
  <c r="F530" i="82"/>
  <c r="G1457" i="82"/>
  <c r="G175" i="82"/>
  <c r="F174" i="82"/>
  <c r="G174" i="82" s="1"/>
  <c r="G302" i="82"/>
  <c r="F301" i="82"/>
  <c r="G1539" i="82"/>
  <c r="F1538" i="82"/>
  <c r="G1538" i="82" s="1"/>
  <c r="G1430" i="82"/>
  <c r="F1429" i="82"/>
  <c r="G1429" i="82" s="1"/>
  <c r="E258" i="82"/>
  <c r="G259" i="82"/>
  <c r="E2049" i="82"/>
  <c r="G2073" i="82"/>
  <c r="G609" i="82"/>
  <c r="F608" i="82"/>
  <c r="G1128" i="82"/>
  <c r="F1956" i="82"/>
  <c r="G1968" i="82"/>
  <c r="G10" i="82"/>
  <c r="F9" i="82"/>
  <c r="G311" i="82"/>
  <c r="F310" i="82"/>
  <c r="G310" i="82" s="1"/>
  <c r="E2278" i="82"/>
  <c r="E2292" i="82" s="1"/>
  <c r="G1861" i="82"/>
  <c r="F1860" i="82"/>
  <c r="G1860" i="82" s="1"/>
  <c r="G720" i="82"/>
  <c r="G1523" i="82"/>
  <c r="F1522" i="82"/>
  <c r="G1522" i="82" s="1"/>
  <c r="G1688" i="82"/>
  <c r="F1687" i="82"/>
  <c r="G1073" i="82"/>
  <c r="G2193" i="82"/>
  <c r="F2279" i="82"/>
  <c r="G565" i="82"/>
  <c r="G1395" i="82"/>
  <c r="F1394" i="82"/>
  <c r="G1394" i="82" s="1"/>
  <c r="G1067" i="82"/>
  <c r="F1066" i="82"/>
  <c r="G1066" i="82" s="1"/>
  <c r="G925" i="82"/>
  <c r="F924" i="82"/>
  <c r="G924" i="82" s="1"/>
  <c r="F1806" i="82"/>
  <c r="G1807" i="82"/>
  <c r="G648" i="82"/>
  <c r="F647" i="82"/>
  <c r="G647" i="82" s="1"/>
  <c r="G753" i="82"/>
  <c r="F752" i="82"/>
  <c r="G1328" i="82"/>
  <c r="F1327" i="82"/>
  <c r="G1327" i="82" s="1"/>
  <c r="G1119" i="82"/>
  <c r="F1118" i="82"/>
  <c r="G2284" i="82"/>
  <c r="G317" i="82"/>
  <c r="F316" i="82"/>
  <c r="G134" i="82"/>
  <c r="F133" i="82"/>
  <c r="G133" i="82" s="1"/>
  <c r="G959" i="82"/>
  <c r="F958" i="82"/>
  <c r="G958" i="82" s="1"/>
  <c r="F2143" i="82"/>
  <c r="G2144" i="82"/>
  <c r="G1109" i="82"/>
  <c r="F1108" i="82"/>
  <c r="G1108" i="82" s="1"/>
  <c r="G1167" i="82"/>
  <c r="F1166" i="82"/>
  <c r="G1166" i="82" s="1"/>
  <c r="G498" i="82"/>
  <c r="F497" i="82"/>
  <c r="G426" i="82"/>
  <c r="G2198" i="82"/>
  <c r="F2197" i="82"/>
  <c r="G2197" i="82" s="1"/>
  <c r="G406" i="82"/>
  <c r="F405" i="82"/>
  <c r="G405" i="82" s="1"/>
  <c r="F1917" i="82"/>
  <c r="G1917" i="82" s="1"/>
  <c r="G1918" i="82"/>
  <c r="G2280" i="82"/>
  <c r="G566" i="82"/>
  <c r="G860" i="82"/>
  <c r="F859" i="82"/>
  <c r="G734" i="82"/>
  <c r="F733" i="82"/>
  <c r="G733" i="82" s="1"/>
  <c r="G1184" i="82"/>
  <c r="F1183" i="82"/>
  <c r="G1183" i="82" s="1"/>
  <c r="G154" i="82"/>
  <c r="F153" i="82"/>
  <c r="G153" i="82" s="1"/>
  <c r="G2288" i="82"/>
  <c r="F2287" i="82"/>
  <c r="G2287" i="82" s="1"/>
  <c r="E1956" i="82"/>
  <c r="G1984" i="82"/>
  <c r="G456" i="82"/>
  <c r="F455" i="82"/>
  <c r="G455" i="82" s="1"/>
  <c r="G1379" i="82"/>
  <c r="F1378" i="82"/>
  <c r="G1378" i="82" s="1"/>
  <c r="G2126" i="82"/>
  <c r="F2125" i="82"/>
  <c r="G2125" i="82" s="1"/>
  <c r="G1956" i="82" l="1"/>
  <c r="G2248" i="82"/>
  <c r="F2243" i="82"/>
  <c r="G2243" i="82" s="1"/>
  <c r="F425" i="82"/>
  <c r="G425" i="82" s="1"/>
  <c r="G1118" i="82"/>
  <c r="F1117" i="82"/>
  <c r="G1117" i="82" s="1"/>
  <c r="G9" i="82"/>
  <c r="F8" i="82"/>
  <c r="G859" i="82"/>
  <c r="F858" i="82"/>
  <c r="G858" i="82" s="1"/>
  <c r="G497" i="82"/>
  <c r="F496" i="82"/>
  <c r="G496" i="82" s="1"/>
  <c r="G1687" i="82"/>
  <c r="F1675" i="82"/>
  <c r="G1675" i="82" s="1"/>
  <c r="G301" i="82"/>
  <c r="F1456" i="82"/>
  <c r="G1456" i="82" s="1"/>
  <c r="F529" i="82"/>
  <c r="G529" i="82" s="1"/>
  <c r="G530" i="82"/>
  <c r="G2143" i="82"/>
  <c r="F2142" i="82"/>
  <c r="G752" i="82"/>
  <c r="F751" i="82"/>
  <c r="G751" i="82" s="1"/>
  <c r="F1127" i="82"/>
  <c r="G1127" i="82" s="1"/>
  <c r="E257" i="82"/>
  <c r="E2275" i="82" s="1"/>
  <c r="G258" i="82"/>
  <c r="F315" i="82"/>
  <c r="G315" i="82" s="1"/>
  <c r="G316" i="82"/>
  <c r="G1806" i="82"/>
  <c r="F1805" i="82"/>
  <c r="G1805" i="82" s="1"/>
  <c r="F2278" i="82"/>
  <c r="G2279" i="82"/>
  <c r="F2192" i="82"/>
  <c r="G608" i="82"/>
  <c r="F607" i="82"/>
  <c r="G607" i="82" s="1"/>
  <c r="G2231" i="82"/>
  <c r="E2192" i="82"/>
  <c r="G2278" i="82" l="1"/>
  <c r="G8" i="82"/>
  <c r="F719" i="82"/>
  <c r="G719" i="82" s="1"/>
  <c r="G2142" i="82"/>
  <c r="F2049" i="82"/>
  <c r="G2049" i="82" s="1"/>
  <c r="G2192" i="82"/>
  <c r="F257" i="82"/>
  <c r="G257" i="82" s="1"/>
  <c r="F2275" i="82" l="1"/>
  <c r="G2275" i="82" s="1"/>
  <c r="I503" i="81" l="1"/>
  <c r="G503" i="81"/>
  <c r="F503" i="81"/>
  <c r="E503" i="81"/>
  <c r="I502" i="81"/>
  <c r="H502" i="81"/>
  <c r="G502" i="81"/>
  <c r="F502" i="81"/>
  <c r="E502" i="81"/>
  <c r="L501" i="81"/>
  <c r="I500" i="81"/>
  <c r="F500" i="81"/>
  <c r="E500" i="81"/>
  <c r="I499" i="81"/>
  <c r="F499" i="81"/>
  <c r="E499" i="81"/>
  <c r="J495" i="81"/>
  <c r="J494" i="81"/>
  <c r="K494" i="81" s="1"/>
  <c r="H494" i="81"/>
  <c r="K493" i="81"/>
  <c r="J493" i="81"/>
  <c r="H493" i="81"/>
  <c r="J492" i="81"/>
  <c r="K492" i="81" s="1"/>
  <c r="H491" i="81"/>
  <c r="G491" i="81"/>
  <c r="F491" i="81"/>
  <c r="E491" i="81"/>
  <c r="F490" i="81"/>
  <c r="F489" i="81" s="1"/>
  <c r="E490" i="81"/>
  <c r="E489" i="81" s="1"/>
  <c r="J488" i="81"/>
  <c r="K487" i="81"/>
  <c r="J487" i="81"/>
  <c r="H487" i="81"/>
  <c r="J486" i="81"/>
  <c r="K486" i="81" s="1"/>
  <c r="G486" i="81"/>
  <c r="H486" i="81" s="1"/>
  <c r="F486" i="81"/>
  <c r="F485" i="81" s="1"/>
  <c r="E486" i="81"/>
  <c r="E485" i="81" s="1"/>
  <c r="H485" i="81"/>
  <c r="G485" i="81"/>
  <c r="J485" i="81" s="1"/>
  <c r="K485" i="81" s="1"/>
  <c r="J484" i="81"/>
  <c r="K483" i="81"/>
  <c r="J483" i="81"/>
  <c r="H483" i="81"/>
  <c r="J482" i="81"/>
  <c r="G482" i="81"/>
  <c r="F482" i="81"/>
  <c r="F481" i="81" s="1"/>
  <c r="E482" i="81"/>
  <c r="E481" i="81" s="1"/>
  <c r="G481" i="81"/>
  <c r="K480" i="81"/>
  <c r="J480" i="81"/>
  <c r="H480" i="81"/>
  <c r="J479" i="81"/>
  <c r="K479" i="81" s="1"/>
  <c r="H479" i="81"/>
  <c r="G479" i="81"/>
  <c r="F479" i="81"/>
  <c r="F477" i="81" s="1"/>
  <c r="E479" i="81"/>
  <c r="E477" i="81" s="1"/>
  <c r="J478" i="81"/>
  <c r="G477" i="81"/>
  <c r="J477" i="81" s="1"/>
  <c r="K477" i="81" s="1"/>
  <c r="J476" i="81"/>
  <c r="K476" i="81" s="1"/>
  <c r="H476" i="81"/>
  <c r="J475" i="81"/>
  <c r="K475" i="81" s="1"/>
  <c r="H475" i="81"/>
  <c r="G475" i="81"/>
  <c r="F475" i="81"/>
  <c r="E475" i="81"/>
  <c r="K474" i="81"/>
  <c r="J474" i="81"/>
  <c r="H474" i="81"/>
  <c r="J473" i="81"/>
  <c r="K473" i="81" s="1"/>
  <c r="H473" i="81"/>
  <c r="J472" i="81"/>
  <c r="K472" i="81" s="1"/>
  <c r="H472" i="81"/>
  <c r="G472" i="81"/>
  <c r="F472" i="81"/>
  <c r="E472" i="81"/>
  <c r="E471" i="81" s="1"/>
  <c r="G471" i="81"/>
  <c r="F471" i="81"/>
  <c r="J470" i="81"/>
  <c r="K470" i="81" s="1"/>
  <c r="H470" i="81"/>
  <c r="G469" i="81"/>
  <c r="F469" i="81"/>
  <c r="E469" i="81"/>
  <c r="E467" i="81" s="1"/>
  <c r="J468" i="81"/>
  <c r="F467" i="81"/>
  <c r="J466" i="81"/>
  <c r="K465" i="81"/>
  <c r="J465" i="81"/>
  <c r="H465" i="81"/>
  <c r="J464" i="81"/>
  <c r="K464" i="81" s="1"/>
  <c r="H464" i="81"/>
  <c r="G464" i="81"/>
  <c r="F464" i="81"/>
  <c r="E464" i="81"/>
  <c r="E463" i="81" s="1"/>
  <c r="G463" i="81"/>
  <c r="F463" i="81"/>
  <c r="J462" i="81"/>
  <c r="K461" i="81"/>
  <c r="J461" i="81"/>
  <c r="H461" i="81"/>
  <c r="J460" i="81"/>
  <c r="K460" i="81" s="1"/>
  <c r="H460" i="81"/>
  <c r="G460" i="81"/>
  <c r="F460" i="81"/>
  <c r="E460" i="81"/>
  <c r="E459" i="81" s="1"/>
  <c r="G459" i="81"/>
  <c r="F459" i="81"/>
  <c r="J457" i="81"/>
  <c r="J456" i="81"/>
  <c r="K456" i="81" s="1"/>
  <c r="H456" i="81"/>
  <c r="G455" i="81"/>
  <c r="F455" i="81"/>
  <c r="F454" i="81" s="1"/>
  <c r="E455" i="81"/>
  <c r="E454" i="81"/>
  <c r="J453" i="81"/>
  <c r="J452" i="81"/>
  <c r="K452" i="81" s="1"/>
  <c r="H452" i="81"/>
  <c r="G451" i="81"/>
  <c r="F451" i="81"/>
  <c r="F450" i="81" s="1"/>
  <c r="E451" i="81"/>
  <c r="E450" i="81"/>
  <c r="J449" i="81"/>
  <c r="J448" i="81"/>
  <c r="K448" i="81" s="1"/>
  <c r="H448" i="81"/>
  <c r="K447" i="81"/>
  <c r="J447" i="81"/>
  <c r="H447" i="81"/>
  <c r="K446" i="81"/>
  <c r="J446" i="81"/>
  <c r="G445" i="81"/>
  <c r="F445" i="81"/>
  <c r="E445" i="81"/>
  <c r="F444" i="81"/>
  <c r="E444" i="81"/>
  <c r="J443" i="81"/>
  <c r="J442" i="81"/>
  <c r="K442" i="81" s="1"/>
  <c r="H442" i="81"/>
  <c r="J441" i="81"/>
  <c r="K441" i="81" s="1"/>
  <c r="H441" i="81"/>
  <c r="K440" i="81"/>
  <c r="J440" i="81"/>
  <c r="H440" i="81"/>
  <c r="J439" i="81"/>
  <c r="G438" i="81"/>
  <c r="F438" i="81"/>
  <c r="F437" i="81" s="1"/>
  <c r="E438" i="81"/>
  <c r="E437" i="81"/>
  <c r="J436" i="81"/>
  <c r="J435" i="81"/>
  <c r="K435" i="81" s="1"/>
  <c r="H435" i="81"/>
  <c r="G434" i="81"/>
  <c r="F434" i="81"/>
  <c r="F433" i="81" s="1"/>
  <c r="E434" i="81"/>
  <c r="E433" i="81"/>
  <c r="J432" i="81"/>
  <c r="J431" i="81"/>
  <c r="K431" i="81" s="1"/>
  <c r="H431" i="81"/>
  <c r="G430" i="81"/>
  <c r="F430" i="81"/>
  <c r="F429" i="81" s="1"/>
  <c r="E430" i="81"/>
  <c r="E429" i="81"/>
  <c r="J428" i="81"/>
  <c r="J427" i="81"/>
  <c r="K427" i="81" s="1"/>
  <c r="H427" i="81"/>
  <c r="G426" i="81"/>
  <c r="F426" i="81"/>
  <c r="F425" i="81" s="1"/>
  <c r="F420" i="81" s="1"/>
  <c r="E426" i="81"/>
  <c r="E425" i="81"/>
  <c r="E420" i="81" s="1"/>
  <c r="J424" i="81"/>
  <c r="J423" i="81"/>
  <c r="G422" i="81"/>
  <c r="J422" i="81" s="1"/>
  <c r="F422" i="81"/>
  <c r="F421" i="81" s="1"/>
  <c r="E422" i="81"/>
  <c r="G421" i="81"/>
  <c r="J421" i="81" s="1"/>
  <c r="E421" i="81"/>
  <c r="J419" i="81"/>
  <c r="J418" i="81"/>
  <c r="K418" i="81" s="1"/>
  <c r="H418" i="81"/>
  <c r="K417" i="81"/>
  <c r="J417" i="81"/>
  <c r="H417" i="81"/>
  <c r="K416" i="81"/>
  <c r="J416" i="81"/>
  <c r="H416" i="81"/>
  <c r="J415" i="81"/>
  <c r="K415" i="81" s="1"/>
  <c r="I415" i="81"/>
  <c r="G415" i="81"/>
  <c r="F415" i="81"/>
  <c r="F414" i="81" s="1"/>
  <c r="F403" i="81" s="1"/>
  <c r="E415" i="81"/>
  <c r="E414" i="81" s="1"/>
  <c r="I414" i="81"/>
  <c r="J413" i="81"/>
  <c r="J412" i="81"/>
  <c r="K412" i="81" s="1"/>
  <c r="H412" i="81"/>
  <c r="G411" i="81"/>
  <c r="F411" i="81"/>
  <c r="F410" i="81" s="1"/>
  <c r="E411" i="81"/>
  <c r="E410" i="81"/>
  <c r="J409" i="81"/>
  <c r="J408" i="81"/>
  <c r="K408" i="81" s="1"/>
  <c r="H408" i="81"/>
  <c r="K407" i="81"/>
  <c r="J407" i="81"/>
  <c r="H407" i="81"/>
  <c r="K406" i="81"/>
  <c r="J406" i="81"/>
  <c r="H406" i="81"/>
  <c r="J405" i="81"/>
  <c r="K405" i="81" s="1"/>
  <c r="H405" i="81"/>
  <c r="G405" i="81"/>
  <c r="F405" i="81"/>
  <c r="E405" i="81"/>
  <c r="E404" i="81" s="1"/>
  <c r="G404" i="81"/>
  <c r="F404" i="81"/>
  <c r="I403" i="81"/>
  <c r="J402" i="81"/>
  <c r="K402" i="81" s="1"/>
  <c r="H402" i="81"/>
  <c r="G401" i="81"/>
  <c r="F401" i="81"/>
  <c r="E401" i="81"/>
  <c r="J400" i="81"/>
  <c r="K400" i="81" s="1"/>
  <c r="H400" i="81"/>
  <c r="J399" i="81"/>
  <c r="K399" i="81" s="1"/>
  <c r="H399" i="81"/>
  <c r="K398" i="81"/>
  <c r="J398" i="81"/>
  <c r="H398" i="81"/>
  <c r="K397" i="81"/>
  <c r="J397" i="81"/>
  <c r="H397" i="81"/>
  <c r="J396" i="81"/>
  <c r="K396" i="81" s="1"/>
  <c r="H396" i="81"/>
  <c r="J395" i="81"/>
  <c r="K395" i="81" s="1"/>
  <c r="H395" i="81"/>
  <c r="K394" i="81"/>
  <c r="J394" i="81"/>
  <c r="H394" i="81"/>
  <c r="J393" i="81"/>
  <c r="K393" i="81" s="1"/>
  <c r="G393" i="81"/>
  <c r="H393" i="81" s="1"/>
  <c r="F393" i="81"/>
  <c r="E393" i="81"/>
  <c r="E392" i="81" s="1"/>
  <c r="G392" i="81"/>
  <c r="J392" i="81" s="1"/>
  <c r="K391" i="81"/>
  <c r="J391" i="81"/>
  <c r="G390" i="81"/>
  <c r="J390" i="81" s="1"/>
  <c r="F390" i="81"/>
  <c r="E390" i="81"/>
  <c r="J389" i="81"/>
  <c r="K389" i="81" s="1"/>
  <c r="H389" i="81"/>
  <c r="K388" i="81"/>
  <c r="J388" i="81"/>
  <c r="H388" i="81"/>
  <c r="K387" i="81"/>
  <c r="J387" i="81"/>
  <c r="H387" i="81"/>
  <c r="J386" i="81"/>
  <c r="K386" i="81" s="1"/>
  <c r="H386" i="81"/>
  <c r="J385" i="81"/>
  <c r="K385" i="81" s="1"/>
  <c r="H385" i="81"/>
  <c r="I384" i="81"/>
  <c r="I383" i="81" s="1"/>
  <c r="H384" i="81"/>
  <c r="G384" i="81"/>
  <c r="J384" i="81" s="1"/>
  <c r="K384" i="81" s="1"/>
  <c r="F384" i="81"/>
  <c r="E384" i="81"/>
  <c r="E383" i="81" s="1"/>
  <c r="F383" i="81"/>
  <c r="J382" i="81"/>
  <c r="K382" i="81" s="1"/>
  <c r="H382" i="81"/>
  <c r="G381" i="81"/>
  <c r="F381" i="81"/>
  <c r="E381" i="81"/>
  <c r="J380" i="81"/>
  <c r="K380" i="81" s="1"/>
  <c r="H380" i="81"/>
  <c r="J379" i="81"/>
  <c r="J378" i="81"/>
  <c r="K378" i="81" s="1"/>
  <c r="I378" i="81"/>
  <c r="G378" i="81"/>
  <c r="F378" i="81"/>
  <c r="E378" i="81"/>
  <c r="I377" i="81"/>
  <c r="F377" i="81"/>
  <c r="E377" i="81"/>
  <c r="E376" i="81" s="1"/>
  <c r="I376" i="81"/>
  <c r="K375" i="81"/>
  <c r="J375" i="81"/>
  <c r="H375" i="81"/>
  <c r="J374" i="81"/>
  <c r="K374" i="81" s="1"/>
  <c r="H374" i="81"/>
  <c r="J373" i="81"/>
  <c r="K373" i="81" s="1"/>
  <c r="H373" i="81"/>
  <c r="G373" i="81"/>
  <c r="F373" i="81"/>
  <c r="E373" i="81"/>
  <c r="K372" i="81"/>
  <c r="J372" i="81"/>
  <c r="H372" i="81"/>
  <c r="K371" i="81"/>
  <c r="J371" i="81"/>
  <c r="H371" i="81"/>
  <c r="J370" i="81"/>
  <c r="K370" i="81" s="1"/>
  <c r="H370" i="81"/>
  <c r="J369" i="81"/>
  <c r="K369" i="81" s="1"/>
  <c r="H369" i="81"/>
  <c r="K368" i="81"/>
  <c r="J368" i="81"/>
  <c r="H368" i="81"/>
  <c r="J367" i="81"/>
  <c r="K367" i="81" s="1"/>
  <c r="H367" i="81"/>
  <c r="J366" i="81"/>
  <c r="K366" i="81" s="1"/>
  <c r="H366" i="81"/>
  <c r="J365" i="81"/>
  <c r="G365" i="81"/>
  <c r="F365" i="81"/>
  <c r="F364" i="81" s="1"/>
  <c r="H364" i="81" s="1"/>
  <c r="E365" i="81"/>
  <c r="E364" i="81" s="1"/>
  <c r="G364" i="81"/>
  <c r="J364" i="81" s="1"/>
  <c r="J363" i="81"/>
  <c r="K362" i="81"/>
  <c r="J362" i="81"/>
  <c r="H362" i="81"/>
  <c r="K361" i="81"/>
  <c r="J361" i="81"/>
  <c r="H361" i="81"/>
  <c r="J360" i="81"/>
  <c r="K360" i="81" s="1"/>
  <c r="H360" i="81"/>
  <c r="G359" i="81"/>
  <c r="F359" i="81"/>
  <c r="E359" i="81"/>
  <c r="F358" i="81"/>
  <c r="E358" i="81"/>
  <c r="J357" i="81"/>
  <c r="J356" i="81"/>
  <c r="K356" i="81" s="1"/>
  <c r="H356" i="81"/>
  <c r="H355" i="81"/>
  <c r="G355" i="81"/>
  <c r="F355" i="81"/>
  <c r="E355" i="81"/>
  <c r="F354" i="81"/>
  <c r="E354" i="81"/>
  <c r="J352" i="81"/>
  <c r="K351" i="81"/>
  <c r="J351" i="81"/>
  <c r="H351" i="81"/>
  <c r="K350" i="81"/>
  <c r="J350" i="81"/>
  <c r="G350" i="81"/>
  <c r="H350" i="81" s="1"/>
  <c r="F350" i="81"/>
  <c r="F349" i="81" s="1"/>
  <c r="E350" i="81"/>
  <c r="E349" i="81" s="1"/>
  <c r="G349" i="81"/>
  <c r="J348" i="81"/>
  <c r="K347" i="81"/>
  <c r="J347" i="81"/>
  <c r="H347" i="81"/>
  <c r="J346" i="81"/>
  <c r="K346" i="81" s="1"/>
  <c r="I346" i="81"/>
  <c r="G346" i="81"/>
  <c r="F346" i="81"/>
  <c r="E346" i="81"/>
  <c r="I345" i="81"/>
  <c r="I334" i="81" s="1"/>
  <c r="F345" i="81"/>
  <c r="E345" i="81"/>
  <c r="J344" i="81"/>
  <c r="K344" i="81" s="1"/>
  <c r="H344" i="81"/>
  <c r="K343" i="81"/>
  <c r="J343" i="81"/>
  <c r="H343" i="81"/>
  <c r="K342" i="81"/>
  <c r="J342" i="81"/>
  <c r="G342" i="81"/>
  <c r="H342" i="81" s="1"/>
  <c r="F342" i="81"/>
  <c r="F340" i="81" s="1"/>
  <c r="E342" i="81"/>
  <c r="E340" i="81" s="1"/>
  <c r="J341" i="81"/>
  <c r="J340" i="81"/>
  <c r="K340" i="81" s="1"/>
  <c r="H340" i="81"/>
  <c r="G340" i="81"/>
  <c r="K339" i="81"/>
  <c r="J339" i="81"/>
  <c r="H339" i="81"/>
  <c r="J338" i="81"/>
  <c r="K338" i="81" s="1"/>
  <c r="H338" i="81"/>
  <c r="J337" i="81"/>
  <c r="K337" i="81" s="1"/>
  <c r="H337" i="81"/>
  <c r="G337" i="81"/>
  <c r="F337" i="81"/>
  <c r="E337" i="81"/>
  <c r="E335" i="81" s="1"/>
  <c r="J336" i="81"/>
  <c r="G335" i="81"/>
  <c r="F335" i="81"/>
  <c r="F334" i="81"/>
  <c r="J333" i="81"/>
  <c r="K333" i="81" s="1"/>
  <c r="J332" i="81"/>
  <c r="K332" i="81" s="1"/>
  <c r="G331" i="81"/>
  <c r="J331" i="81" s="1"/>
  <c r="F331" i="81"/>
  <c r="F330" i="81" s="1"/>
  <c r="F329" i="81" s="1"/>
  <c r="E331" i="81"/>
  <c r="J330" i="81"/>
  <c r="G330" i="81"/>
  <c r="G329" i="81" s="1"/>
  <c r="E330" i="81"/>
  <c r="J329" i="81"/>
  <c r="K329" i="81" s="1"/>
  <c r="E329" i="81"/>
  <c r="J328" i="81"/>
  <c r="K328" i="81" s="1"/>
  <c r="H328" i="81"/>
  <c r="G327" i="81"/>
  <c r="F327" i="81"/>
  <c r="E327" i="81"/>
  <c r="J326" i="81"/>
  <c r="K326" i="81" s="1"/>
  <c r="H326" i="81"/>
  <c r="J325" i="81"/>
  <c r="K325" i="81" s="1"/>
  <c r="H325" i="81"/>
  <c r="K324" i="81"/>
  <c r="J324" i="81"/>
  <c r="H324" i="81"/>
  <c r="K323" i="81"/>
  <c r="J323" i="81"/>
  <c r="G323" i="81"/>
  <c r="H323" i="81" s="1"/>
  <c r="F323" i="81"/>
  <c r="F322" i="81" s="1"/>
  <c r="E323" i="81"/>
  <c r="E322" i="81" s="1"/>
  <c r="J321" i="81"/>
  <c r="K320" i="81"/>
  <c r="J320" i="81"/>
  <c r="H320" i="81"/>
  <c r="J319" i="81"/>
  <c r="K319" i="81" s="1"/>
  <c r="H319" i="81"/>
  <c r="J318" i="81"/>
  <c r="K318" i="81" s="1"/>
  <c r="H318" i="81"/>
  <c r="H317" i="81"/>
  <c r="G317" i="81"/>
  <c r="F317" i="81"/>
  <c r="E317" i="81"/>
  <c r="F316" i="81"/>
  <c r="E316" i="81"/>
  <c r="J315" i="81"/>
  <c r="J314" i="81"/>
  <c r="K314" i="81" s="1"/>
  <c r="H314" i="81"/>
  <c r="J313" i="81"/>
  <c r="K313" i="81" s="1"/>
  <c r="H313" i="81"/>
  <c r="K312" i="81"/>
  <c r="J312" i="81"/>
  <c r="H312" i="81"/>
  <c r="K311" i="81"/>
  <c r="J311" i="81"/>
  <c r="H311" i="81"/>
  <c r="J310" i="81"/>
  <c r="K310" i="81" s="1"/>
  <c r="H310" i="81"/>
  <c r="J309" i="81"/>
  <c r="K309" i="81" s="1"/>
  <c r="H309" i="81"/>
  <c r="K308" i="81"/>
  <c r="J308" i="81"/>
  <c r="H308" i="81"/>
  <c r="K307" i="81"/>
  <c r="J307" i="81"/>
  <c r="H307" i="81"/>
  <c r="I306" i="81"/>
  <c r="J306" i="81" s="1"/>
  <c r="K306" i="81" s="1"/>
  <c r="G306" i="81"/>
  <c r="F306" i="81"/>
  <c r="F305" i="81" s="1"/>
  <c r="H305" i="81" s="1"/>
  <c r="E306" i="81"/>
  <c r="G305" i="81"/>
  <c r="E305" i="81"/>
  <c r="J304" i="81"/>
  <c r="J303" i="81"/>
  <c r="K303" i="81" s="1"/>
  <c r="H303" i="81"/>
  <c r="K302" i="81"/>
  <c r="J302" i="81"/>
  <c r="H302" i="81"/>
  <c r="K301" i="81"/>
  <c r="J301" i="81"/>
  <c r="G301" i="81"/>
  <c r="H301" i="81" s="1"/>
  <c r="F301" i="81"/>
  <c r="F300" i="81" s="1"/>
  <c r="E301" i="81"/>
  <c r="E300" i="81" s="1"/>
  <c r="G300" i="81"/>
  <c r="J299" i="81"/>
  <c r="K299" i="81" s="1"/>
  <c r="J298" i="81"/>
  <c r="K298" i="81" s="1"/>
  <c r="H298" i="81"/>
  <c r="G297" i="81"/>
  <c r="J297" i="81" s="1"/>
  <c r="K297" i="81" s="1"/>
  <c r="F297" i="81"/>
  <c r="E297" i="81"/>
  <c r="E296" i="81" s="1"/>
  <c r="E291" i="81" s="1"/>
  <c r="G296" i="81"/>
  <c r="J296" i="81" s="1"/>
  <c r="F296" i="81"/>
  <c r="J295" i="81"/>
  <c r="K294" i="81"/>
  <c r="J294" i="81"/>
  <c r="H294" i="81"/>
  <c r="J293" i="81"/>
  <c r="K293" i="81" s="1"/>
  <c r="H293" i="81"/>
  <c r="G293" i="81"/>
  <c r="F293" i="81"/>
  <c r="E293" i="81"/>
  <c r="E292" i="81" s="1"/>
  <c r="G292" i="81"/>
  <c r="F292" i="81"/>
  <c r="F291" i="81" s="1"/>
  <c r="J290" i="81"/>
  <c r="K290" i="81" s="1"/>
  <c r="H290" i="81"/>
  <c r="K289" i="81"/>
  <c r="J289" i="81"/>
  <c r="H289" i="81"/>
  <c r="K288" i="81"/>
  <c r="J288" i="81"/>
  <c r="H288" i="81"/>
  <c r="J287" i="81"/>
  <c r="K287" i="81" s="1"/>
  <c r="H287" i="81"/>
  <c r="G286" i="81"/>
  <c r="G279" i="81" s="1"/>
  <c r="F286" i="81"/>
  <c r="E286" i="81"/>
  <c r="J285" i="81"/>
  <c r="K285" i="81" s="1"/>
  <c r="H285" i="81"/>
  <c r="J284" i="81"/>
  <c r="K284" i="81" s="1"/>
  <c r="H284" i="81"/>
  <c r="J283" i="81"/>
  <c r="K283" i="81" s="1"/>
  <c r="H283" i="81"/>
  <c r="K282" i="81"/>
  <c r="J282" i="81"/>
  <c r="H282" i="81"/>
  <c r="J281" i="81"/>
  <c r="K281" i="81" s="1"/>
  <c r="H281" i="81"/>
  <c r="J280" i="81"/>
  <c r="K280" i="81" s="1"/>
  <c r="H280" i="81"/>
  <c r="G280" i="81"/>
  <c r="F280" i="81"/>
  <c r="E280" i="81"/>
  <c r="E279" i="81" s="1"/>
  <c r="F279" i="81"/>
  <c r="J278" i="81"/>
  <c r="K278" i="81" s="1"/>
  <c r="H278" i="81"/>
  <c r="J277" i="81"/>
  <c r="K277" i="81" s="1"/>
  <c r="J276" i="81"/>
  <c r="K276" i="81" s="1"/>
  <c r="H276" i="81"/>
  <c r="J275" i="81"/>
  <c r="K275" i="81" s="1"/>
  <c r="H275" i="81"/>
  <c r="J274" i="81"/>
  <c r="K274" i="81" s="1"/>
  <c r="H274" i="81"/>
  <c r="K273" i="81"/>
  <c r="J273" i="81"/>
  <c r="H273" i="81"/>
  <c r="J272" i="81"/>
  <c r="K272" i="81" s="1"/>
  <c r="I272" i="81"/>
  <c r="G272" i="81"/>
  <c r="F272" i="81"/>
  <c r="E272" i="81"/>
  <c r="J271" i="81"/>
  <c r="K271" i="81" s="1"/>
  <c r="H271" i="81"/>
  <c r="J270" i="81"/>
  <c r="K270" i="81" s="1"/>
  <c r="H270" i="81"/>
  <c r="K269" i="81"/>
  <c r="J269" i="81"/>
  <c r="H269" i="81"/>
  <c r="K268" i="81"/>
  <c r="J268" i="81"/>
  <c r="H268" i="81"/>
  <c r="I267" i="81"/>
  <c r="J267" i="81" s="1"/>
  <c r="K267" i="81" s="1"/>
  <c r="G267" i="81"/>
  <c r="F267" i="81"/>
  <c r="F266" i="81" s="1"/>
  <c r="E267" i="81"/>
  <c r="E266" i="81"/>
  <c r="J265" i="81"/>
  <c r="J264" i="81"/>
  <c r="K264" i="81" s="1"/>
  <c r="H264" i="81"/>
  <c r="K263" i="81"/>
  <c r="I263" i="81"/>
  <c r="I262" i="81" s="1"/>
  <c r="H263" i="81"/>
  <c r="G263" i="81"/>
  <c r="J263" i="81" s="1"/>
  <c r="F263" i="81"/>
  <c r="E263" i="81"/>
  <c r="E262" i="81" s="1"/>
  <c r="H262" i="81"/>
  <c r="G262" i="81"/>
  <c r="J262" i="81" s="1"/>
  <c r="K262" i="81" s="1"/>
  <c r="F262" i="81"/>
  <c r="J261" i="81"/>
  <c r="K260" i="81"/>
  <c r="J260" i="81"/>
  <c r="H260" i="81"/>
  <c r="J259" i="81"/>
  <c r="I259" i="81"/>
  <c r="H259" i="81"/>
  <c r="G259" i="81"/>
  <c r="F259" i="81"/>
  <c r="F258" i="81" s="1"/>
  <c r="E259" i="81"/>
  <c r="I258" i="81"/>
  <c r="G258" i="81"/>
  <c r="E258" i="81"/>
  <c r="J257" i="81"/>
  <c r="K256" i="81"/>
  <c r="J256" i="81"/>
  <c r="H256" i="81"/>
  <c r="J255" i="81"/>
  <c r="K255" i="81" s="1"/>
  <c r="I255" i="81"/>
  <c r="G255" i="81"/>
  <c r="F255" i="81"/>
  <c r="E255" i="81"/>
  <c r="I254" i="81"/>
  <c r="G254" i="81"/>
  <c r="E254" i="81"/>
  <c r="J253" i="81"/>
  <c r="K253" i="81" s="1"/>
  <c r="H253" i="81"/>
  <c r="K252" i="81"/>
  <c r="G252" i="81"/>
  <c r="J252" i="81" s="1"/>
  <c r="F252" i="81"/>
  <c r="H252" i="81" s="1"/>
  <c r="E252" i="81"/>
  <c r="J251" i="81"/>
  <c r="I250" i="81"/>
  <c r="J250" i="81" s="1"/>
  <c r="G250" i="81"/>
  <c r="F250" i="81"/>
  <c r="F249" i="81" s="1"/>
  <c r="E250" i="81"/>
  <c r="I249" i="81"/>
  <c r="G249" i="81"/>
  <c r="E249" i="81"/>
  <c r="J248" i="81"/>
  <c r="K247" i="81"/>
  <c r="J247" i="81"/>
  <c r="H247" i="81"/>
  <c r="J246" i="81"/>
  <c r="I246" i="81"/>
  <c r="H246" i="81"/>
  <c r="G246" i="81"/>
  <c r="F246" i="81"/>
  <c r="F245" i="81" s="1"/>
  <c r="E246" i="81"/>
  <c r="I245" i="81"/>
  <c r="G245" i="81"/>
  <c r="E245" i="81"/>
  <c r="J243" i="81"/>
  <c r="J242" i="81"/>
  <c r="K242" i="81" s="1"/>
  <c r="H242" i="81"/>
  <c r="K241" i="81"/>
  <c r="J241" i="81"/>
  <c r="H241" i="81"/>
  <c r="J240" i="81"/>
  <c r="I240" i="81"/>
  <c r="H240" i="81"/>
  <c r="G240" i="81"/>
  <c r="F240" i="81"/>
  <c r="F239" i="81" s="1"/>
  <c r="E240" i="81"/>
  <c r="I239" i="81"/>
  <c r="I231" i="81" s="1"/>
  <c r="G239" i="81"/>
  <c r="E239" i="81"/>
  <c r="J238" i="81"/>
  <c r="K237" i="81"/>
  <c r="J237" i="81"/>
  <c r="H237" i="81"/>
  <c r="J236" i="81"/>
  <c r="K236" i="81" s="1"/>
  <c r="H236" i="81"/>
  <c r="K235" i="81"/>
  <c r="J235" i="81"/>
  <c r="H235" i="81"/>
  <c r="J234" i="81"/>
  <c r="K234" i="81" s="1"/>
  <c r="H234" i="81"/>
  <c r="J233" i="81"/>
  <c r="H233" i="81"/>
  <c r="G233" i="81"/>
  <c r="F233" i="81"/>
  <c r="K233" i="81" s="1"/>
  <c r="E233" i="81"/>
  <c r="E232" i="81" s="1"/>
  <c r="K232" i="81"/>
  <c r="G232" i="81"/>
  <c r="J232" i="81" s="1"/>
  <c r="F232" i="81"/>
  <c r="F231" i="81" s="1"/>
  <c r="G231" i="81"/>
  <c r="E231" i="81"/>
  <c r="J230" i="81"/>
  <c r="K229" i="81"/>
  <c r="J229" i="81"/>
  <c r="H229" i="81"/>
  <c r="H228" i="81" s="1"/>
  <c r="H227" i="81" s="1"/>
  <c r="H226" i="81" s="1"/>
  <c r="J228" i="81"/>
  <c r="K228" i="81" s="1"/>
  <c r="G228" i="81"/>
  <c r="F228" i="81"/>
  <c r="E228" i="81"/>
  <c r="J227" i="81"/>
  <c r="K227" i="81" s="1"/>
  <c r="G227" i="81"/>
  <c r="F227" i="81"/>
  <c r="F226" i="81" s="1"/>
  <c r="E227" i="81"/>
  <c r="E226" i="81" s="1"/>
  <c r="J226" i="81"/>
  <c r="K226" i="81" s="1"/>
  <c r="G226" i="81"/>
  <c r="J225" i="81"/>
  <c r="K225" i="81" s="1"/>
  <c r="H225" i="81"/>
  <c r="J224" i="81"/>
  <c r="J223" i="81"/>
  <c r="K223" i="81" s="1"/>
  <c r="H223" i="81"/>
  <c r="K222" i="81"/>
  <c r="J222" i="81"/>
  <c r="H222" i="81"/>
  <c r="J221" i="81"/>
  <c r="K221" i="81" s="1"/>
  <c r="H221" i="81"/>
  <c r="G220" i="81"/>
  <c r="J220" i="81" s="1"/>
  <c r="K220" i="81" s="1"/>
  <c r="F220" i="81"/>
  <c r="E220" i="81"/>
  <c r="K219" i="81"/>
  <c r="J219" i="81"/>
  <c r="H219" i="81"/>
  <c r="J218" i="81"/>
  <c r="J217" i="81"/>
  <c r="J216" i="81"/>
  <c r="K216" i="81" s="1"/>
  <c r="H216" i="81"/>
  <c r="K215" i="81"/>
  <c r="J215" i="81"/>
  <c r="H215" i="81"/>
  <c r="J214" i="81"/>
  <c r="K213" i="81"/>
  <c r="J213" i="81"/>
  <c r="H213" i="81"/>
  <c r="J212" i="81"/>
  <c r="K212" i="81" s="1"/>
  <c r="H212" i="81"/>
  <c r="J211" i="81"/>
  <c r="J210" i="81"/>
  <c r="K210" i="81" s="1"/>
  <c r="H210" i="81"/>
  <c r="J209" i="81"/>
  <c r="J208" i="81"/>
  <c r="K207" i="81"/>
  <c r="J207" i="81"/>
  <c r="H207" i="81"/>
  <c r="J206" i="81"/>
  <c r="K206" i="81" s="1"/>
  <c r="H206" i="81"/>
  <c r="K205" i="81"/>
  <c r="J205" i="81"/>
  <c r="H205" i="81"/>
  <c r="J204" i="81"/>
  <c r="K203" i="81"/>
  <c r="J203" i="81"/>
  <c r="H203" i="81"/>
  <c r="J202" i="81"/>
  <c r="K202" i="81" s="1"/>
  <c r="H202" i="81"/>
  <c r="J201" i="81"/>
  <c r="J200" i="81"/>
  <c r="K200" i="81" s="1"/>
  <c r="H200" i="81"/>
  <c r="I199" i="81"/>
  <c r="I198" i="81" s="1"/>
  <c r="G199" i="81"/>
  <c r="F199" i="81"/>
  <c r="E199" i="81"/>
  <c r="E198" i="81" s="1"/>
  <c r="J197" i="81"/>
  <c r="J196" i="81"/>
  <c r="K196" i="81" s="1"/>
  <c r="H196" i="81"/>
  <c r="K195" i="81"/>
  <c r="H195" i="81"/>
  <c r="G195" i="81"/>
  <c r="J195" i="81" s="1"/>
  <c r="F195" i="81"/>
  <c r="E195" i="81"/>
  <c r="F194" i="81"/>
  <c r="E194" i="81"/>
  <c r="K193" i="81"/>
  <c r="J193" i="81"/>
  <c r="H193" i="81"/>
  <c r="G192" i="81"/>
  <c r="F192" i="81"/>
  <c r="E192" i="81"/>
  <c r="J191" i="81"/>
  <c r="K191" i="81" s="1"/>
  <c r="H191" i="81"/>
  <c r="J190" i="81"/>
  <c r="H190" i="81"/>
  <c r="G190" i="81"/>
  <c r="F190" i="81"/>
  <c r="K190" i="81" s="1"/>
  <c r="E190" i="81"/>
  <c r="E189" i="81" s="1"/>
  <c r="F189" i="81"/>
  <c r="J188" i="81"/>
  <c r="J187" i="81"/>
  <c r="K187" i="81" s="1"/>
  <c r="H187" i="81"/>
  <c r="K186" i="81"/>
  <c r="J186" i="81"/>
  <c r="H186" i="81"/>
  <c r="J185" i="81"/>
  <c r="K184" i="81"/>
  <c r="J184" i="81"/>
  <c r="H184" i="81"/>
  <c r="J183" i="81"/>
  <c r="K183" i="81" s="1"/>
  <c r="H183" i="81"/>
  <c r="K182" i="81"/>
  <c r="J182" i="81"/>
  <c r="H182" i="81"/>
  <c r="J181" i="81"/>
  <c r="K181" i="81" s="1"/>
  <c r="H181" i="81"/>
  <c r="K180" i="81"/>
  <c r="H180" i="81"/>
  <c r="G180" i="81"/>
  <c r="J180" i="81" s="1"/>
  <c r="F180" i="81"/>
  <c r="E180" i="81"/>
  <c r="K179" i="81"/>
  <c r="G179" i="81"/>
  <c r="J179" i="81" s="1"/>
  <c r="F179" i="81"/>
  <c r="H179" i="81" s="1"/>
  <c r="E179" i="81"/>
  <c r="J178" i="81"/>
  <c r="J177" i="81"/>
  <c r="K177" i="81" s="1"/>
  <c r="H177" i="81"/>
  <c r="K176" i="81"/>
  <c r="J176" i="81"/>
  <c r="H176" i="81"/>
  <c r="G175" i="81"/>
  <c r="F175" i="81"/>
  <c r="E175" i="81"/>
  <c r="G174" i="81"/>
  <c r="F174" i="81"/>
  <c r="E174" i="81"/>
  <c r="J173" i="81"/>
  <c r="K172" i="81"/>
  <c r="J172" i="81"/>
  <c r="H172" i="81"/>
  <c r="J171" i="81"/>
  <c r="K171" i="81" s="1"/>
  <c r="H171" i="81"/>
  <c r="K170" i="81"/>
  <c r="J170" i="81"/>
  <c r="H170" i="81"/>
  <c r="J169" i="81"/>
  <c r="K169" i="81" s="1"/>
  <c r="H169" i="81"/>
  <c r="K168" i="81"/>
  <c r="J168" i="81"/>
  <c r="H168" i="81"/>
  <c r="J167" i="81"/>
  <c r="I167" i="81"/>
  <c r="H167" i="81"/>
  <c r="G167" i="81"/>
  <c r="F167" i="81"/>
  <c r="F166" i="81" s="1"/>
  <c r="E167" i="81"/>
  <c r="I166" i="81"/>
  <c r="I160" i="81" s="1"/>
  <c r="G166" i="81"/>
  <c r="E166" i="81"/>
  <c r="J165" i="81"/>
  <c r="K164" i="81"/>
  <c r="J164" i="81"/>
  <c r="H164" i="81"/>
  <c r="J163" i="81"/>
  <c r="K163" i="81" s="1"/>
  <c r="H163" i="81"/>
  <c r="I162" i="81"/>
  <c r="I161" i="81" s="1"/>
  <c r="G162" i="81"/>
  <c r="F162" i="81"/>
  <c r="E162" i="81"/>
  <c r="E161" i="81" s="1"/>
  <c r="F161" i="81"/>
  <c r="E160" i="81"/>
  <c r="J159" i="81"/>
  <c r="K158" i="81"/>
  <c r="J158" i="81"/>
  <c r="H158" i="81"/>
  <c r="J157" i="81"/>
  <c r="K157" i="81" s="1"/>
  <c r="H157" i="81"/>
  <c r="K156" i="81"/>
  <c r="J156" i="81"/>
  <c r="H156" i="81"/>
  <c r="G155" i="81"/>
  <c r="H155" i="81" s="1"/>
  <c r="F155" i="81"/>
  <c r="F154" i="81" s="1"/>
  <c r="F153" i="81" s="1"/>
  <c r="E155" i="81"/>
  <c r="G154" i="81"/>
  <c r="E154" i="81"/>
  <c r="G153" i="81"/>
  <c r="E153" i="81"/>
  <c r="J152" i="81"/>
  <c r="K152" i="81" s="1"/>
  <c r="H152" i="81"/>
  <c r="J151" i="81"/>
  <c r="K151" i="81" s="1"/>
  <c r="H151" i="81"/>
  <c r="G151" i="81"/>
  <c r="F151" i="81"/>
  <c r="E151" i="81"/>
  <c r="K150" i="81"/>
  <c r="J150" i="81"/>
  <c r="H150" i="81"/>
  <c r="J149" i="81"/>
  <c r="I149" i="81"/>
  <c r="G149" i="81"/>
  <c r="F149" i="81"/>
  <c r="F148" i="81" s="1"/>
  <c r="F147" i="81" s="1"/>
  <c r="E149" i="81"/>
  <c r="I148" i="81"/>
  <c r="I147" i="81" s="1"/>
  <c r="E148" i="81"/>
  <c r="E147" i="81" s="1"/>
  <c r="J146" i="81"/>
  <c r="G145" i="81"/>
  <c r="J144" i="81"/>
  <c r="K144" i="81" s="1"/>
  <c r="H144" i="81"/>
  <c r="K143" i="81"/>
  <c r="J143" i="81"/>
  <c r="H143" i="81"/>
  <c r="J142" i="81"/>
  <c r="K142" i="81" s="1"/>
  <c r="H142" i="81"/>
  <c r="I141" i="81"/>
  <c r="I140" i="81" s="1"/>
  <c r="I129" i="81" s="1"/>
  <c r="F141" i="81"/>
  <c r="F140" i="81" s="1"/>
  <c r="E141" i="81"/>
  <c r="E140" i="81" s="1"/>
  <c r="J139" i="81"/>
  <c r="J138" i="81"/>
  <c r="K138" i="81" s="1"/>
  <c r="H138" i="81"/>
  <c r="K137" i="81"/>
  <c r="G137" i="81"/>
  <c r="J137" i="81" s="1"/>
  <c r="F137" i="81"/>
  <c r="F136" i="81" s="1"/>
  <c r="E137" i="81"/>
  <c r="E136" i="81"/>
  <c r="J135" i="81"/>
  <c r="J134" i="81"/>
  <c r="J133" i="81"/>
  <c r="K133" i="81" s="1"/>
  <c r="H133" i="81"/>
  <c r="J132" i="81"/>
  <c r="K132" i="81" s="1"/>
  <c r="H132" i="81"/>
  <c r="K131" i="81"/>
  <c r="G131" i="81"/>
  <c r="J131" i="81" s="1"/>
  <c r="F131" i="81"/>
  <c r="F130" i="81" s="1"/>
  <c r="F129" i="81" s="1"/>
  <c r="E131" i="81"/>
  <c r="E130" i="81"/>
  <c r="J128" i="81"/>
  <c r="K128" i="81" s="1"/>
  <c r="H128" i="81"/>
  <c r="J127" i="81"/>
  <c r="K127" i="81" s="1"/>
  <c r="H127" i="81"/>
  <c r="G126" i="81"/>
  <c r="F126" i="81"/>
  <c r="E126" i="81"/>
  <c r="J125" i="81"/>
  <c r="K124" i="81"/>
  <c r="J124" i="81"/>
  <c r="H124" i="81"/>
  <c r="J123" i="81"/>
  <c r="K123" i="81" s="1"/>
  <c r="H123" i="81"/>
  <c r="J122" i="81"/>
  <c r="K122" i="81" s="1"/>
  <c r="H122" i="81"/>
  <c r="G121" i="81"/>
  <c r="F121" i="81"/>
  <c r="E121" i="81"/>
  <c r="F120" i="81"/>
  <c r="F119" i="81" s="1"/>
  <c r="E120" i="81"/>
  <c r="E119" i="81" s="1"/>
  <c r="J118" i="81"/>
  <c r="K117" i="81"/>
  <c r="J117" i="81"/>
  <c r="H117" i="81"/>
  <c r="J116" i="81"/>
  <c r="I116" i="81"/>
  <c r="G116" i="81"/>
  <c r="H116" i="81" s="1"/>
  <c r="F116" i="81"/>
  <c r="F115" i="81" s="1"/>
  <c r="E116" i="81"/>
  <c r="I115" i="81"/>
  <c r="I110" i="81" s="1"/>
  <c r="E115" i="81"/>
  <c r="J114" i="81"/>
  <c r="J113" i="81"/>
  <c r="K113" i="81" s="1"/>
  <c r="H113" i="81"/>
  <c r="G112" i="81"/>
  <c r="F112" i="81"/>
  <c r="E112" i="81"/>
  <c r="F111" i="81"/>
  <c r="F110" i="81" s="1"/>
  <c r="E111" i="81"/>
  <c r="J109" i="81"/>
  <c r="J108" i="81"/>
  <c r="K108" i="81" s="1"/>
  <c r="H108" i="81"/>
  <c r="G107" i="81"/>
  <c r="K106" i="81"/>
  <c r="J106" i="81"/>
  <c r="H106" i="81"/>
  <c r="J105" i="81"/>
  <c r="K105" i="81" s="1"/>
  <c r="I105" i="81"/>
  <c r="G105" i="81"/>
  <c r="H105" i="81" s="1"/>
  <c r="F105" i="81"/>
  <c r="F104" i="81" s="1"/>
  <c r="E105" i="81"/>
  <c r="I104" i="81"/>
  <c r="E104" i="81"/>
  <c r="J103" i="81"/>
  <c r="K103" i="81" s="1"/>
  <c r="H103" i="81"/>
  <c r="J102" i="81"/>
  <c r="J101" i="81"/>
  <c r="K101" i="81" s="1"/>
  <c r="H101" i="81"/>
  <c r="K100" i="81"/>
  <c r="J100" i="81"/>
  <c r="H100" i="81"/>
  <c r="J99" i="81"/>
  <c r="K99" i="81" s="1"/>
  <c r="H99" i="81"/>
  <c r="J98" i="81"/>
  <c r="K98" i="81" s="1"/>
  <c r="H98" i="81"/>
  <c r="J97" i="81"/>
  <c r="K97" i="81" s="1"/>
  <c r="H97" i="81"/>
  <c r="I96" i="81"/>
  <c r="G96" i="81"/>
  <c r="F96" i="81"/>
  <c r="E96" i="81"/>
  <c r="J95" i="81"/>
  <c r="K95" i="81" s="1"/>
  <c r="H95" i="81"/>
  <c r="J94" i="81"/>
  <c r="K94" i="81" s="1"/>
  <c r="H94" i="81"/>
  <c r="J93" i="81"/>
  <c r="J92" i="81"/>
  <c r="K92" i="81" s="1"/>
  <c r="H92" i="81"/>
  <c r="J91" i="81"/>
  <c r="K91" i="81" s="1"/>
  <c r="H91" i="81"/>
  <c r="K90" i="81"/>
  <c r="J90" i="81"/>
  <c r="H90" i="81"/>
  <c r="J89" i="81"/>
  <c r="I89" i="81"/>
  <c r="G89" i="81"/>
  <c r="H89" i="81" s="1"/>
  <c r="F89" i="81"/>
  <c r="F88" i="81" s="1"/>
  <c r="E89" i="81"/>
  <c r="I88" i="81"/>
  <c r="E88" i="81"/>
  <c r="J87" i="81"/>
  <c r="J86" i="81"/>
  <c r="G85" i="81"/>
  <c r="J85" i="81" s="1"/>
  <c r="F85" i="81"/>
  <c r="E85" i="81"/>
  <c r="G84" i="81"/>
  <c r="J84" i="81" s="1"/>
  <c r="F84" i="81"/>
  <c r="E84" i="81"/>
  <c r="J83" i="81"/>
  <c r="K82" i="81"/>
  <c r="J82" i="81"/>
  <c r="H82" i="81"/>
  <c r="J81" i="81"/>
  <c r="K81" i="81" s="1"/>
  <c r="H81" i="81"/>
  <c r="J80" i="81"/>
  <c r="K80" i="81" s="1"/>
  <c r="H80" i="81"/>
  <c r="G79" i="81"/>
  <c r="F79" i="81"/>
  <c r="E79" i="81"/>
  <c r="F78" i="81"/>
  <c r="E78" i="81"/>
  <c r="J77" i="81"/>
  <c r="K77" i="81" s="1"/>
  <c r="H77" i="81"/>
  <c r="I76" i="81"/>
  <c r="I501" i="81" s="1"/>
  <c r="G76" i="81"/>
  <c r="F76" i="81"/>
  <c r="E76" i="81"/>
  <c r="J75" i="81"/>
  <c r="K75" i="81" s="1"/>
  <c r="H75" i="81"/>
  <c r="I74" i="81"/>
  <c r="G74" i="81"/>
  <c r="H74" i="81" s="1"/>
  <c r="F74" i="81"/>
  <c r="F73" i="81" s="1"/>
  <c r="E74" i="81"/>
  <c r="E73" i="81" s="1"/>
  <c r="K72" i="81"/>
  <c r="J72" i="81"/>
  <c r="H72" i="81"/>
  <c r="J71" i="81"/>
  <c r="K70" i="81"/>
  <c r="G70" i="81"/>
  <c r="J70" i="81" s="1"/>
  <c r="F70" i="81"/>
  <c r="E70" i="81"/>
  <c r="J69" i="81"/>
  <c r="K69" i="81" s="1"/>
  <c r="H69" i="81"/>
  <c r="J68" i="81"/>
  <c r="K68" i="81" s="1"/>
  <c r="H68" i="81"/>
  <c r="K67" i="81"/>
  <c r="J67" i="81"/>
  <c r="H67" i="81"/>
  <c r="J66" i="81"/>
  <c r="K65" i="81"/>
  <c r="J65" i="81"/>
  <c r="H65" i="81"/>
  <c r="J64" i="81"/>
  <c r="K64" i="81" s="1"/>
  <c r="I64" i="81"/>
  <c r="G64" i="81"/>
  <c r="H64" i="81" s="1"/>
  <c r="F64" i="81"/>
  <c r="F63" i="81" s="1"/>
  <c r="E64" i="81"/>
  <c r="I63" i="81"/>
  <c r="E63" i="81"/>
  <c r="K61" i="81"/>
  <c r="J61" i="81"/>
  <c r="H61" i="81"/>
  <c r="J60" i="81"/>
  <c r="K60" i="81" s="1"/>
  <c r="G60" i="81"/>
  <c r="F60" i="81"/>
  <c r="K59" i="81"/>
  <c r="J59" i="81"/>
  <c r="H59" i="81"/>
  <c r="J58" i="81"/>
  <c r="K58" i="81" s="1"/>
  <c r="H58" i="81"/>
  <c r="J57" i="81"/>
  <c r="K57" i="81" s="1"/>
  <c r="H57" i="81"/>
  <c r="H56" i="81" s="1"/>
  <c r="G56" i="81"/>
  <c r="F56" i="81"/>
  <c r="E56" i="81"/>
  <c r="F55" i="81"/>
  <c r="F54" i="81" s="1"/>
  <c r="E55" i="81"/>
  <c r="E54" i="81" s="1"/>
  <c r="J53" i="81"/>
  <c r="K52" i="81"/>
  <c r="J52" i="81"/>
  <c r="H52" i="81"/>
  <c r="J51" i="81"/>
  <c r="K51" i="81" s="1"/>
  <c r="I51" i="81"/>
  <c r="G51" i="81"/>
  <c r="F51" i="81"/>
  <c r="F50" i="81" s="1"/>
  <c r="F49" i="81" s="1"/>
  <c r="E51" i="81"/>
  <c r="I50" i="81"/>
  <c r="I49" i="81" s="1"/>
  <c r="E50" i="81"/>
  <c r="E49" i="81" s="1"/>
  <c r="J48" i="81"/>
  <c r="J47" i="81"/>
  <c r="K47" i="81" s="1"/>
  <c r="H47" i="81"/>
  <c r="K46" i="81"/>
  <c r="J46" i="81"/>
  <c r="H46" i="81"/>
  <c r="J45" i="81"/>
  <c r="K45" i="81" s="1"/>
  <c r="G45" i="81"/>
  <c r="H45" i="81" s="1"/>
  <c r="F45" i="81"/>
  <c r="F44" i="81" s="1"/>
  <c r="F43" i="81" s="1"/>
  <c r="E45" i="81"/>
  <c r="E44" i="81" s="1"/>
  <c r="G44" i="81"/>
  <c r="E43" i="81"/>
  <c r="J42" i="81"/>
  <c r="J41" i="81"/>
  <c r="K41" i="81" s="1"/>
  <c r="H41" i="81"/>
  <c r="J40" i="81"/>
  <c r="K40" i="81" s="1"/>
  <c r="H40" i="81"/>
  <c r="I39" i="81"/>
  <c r="H39" i="81"/>
  <c r="G39" i="81"/>
  <c r="J39" i="81" s="1"/>
  <c r="K39" i="81" s="1"/>
  <c r="F39" i="81"/>
  <c r="E39" i="81"/>
  <c r="E38" i="81" s="1"/>
  <c r="G38" i="81"/>
  <c r="F38" i="81"/>
  <c r="J37" i="81"/>
  <c r="K37" i="81" s="1"/>
  <c r="K36" i="81"/>
  <c r="J36" i="81"/>
  <c r="J35" i="81"/>
  <c r="K35" i="81" s="1"/>
  <c r="K34" i="81"/>
  <c r="J34" i="81"/>
  <c r="J33" i="81"/>
  <c r="K32" i="81"/>
  <c r="J32" i="81"/>
  <c r="H32" i="81"/>
  <c r="J31" i="81"/>
  <c r="K31" i="81" s="1"/>
  <c r="H31" i="81"/>
  <c r="G31" i="81"/>
  <c r="F31" i="81"/>
  <c r="E31" i="81"/>
  <c r="E30" i="81" s="1"/>
  <c r="G30" i="81"/>
  <c r="F30" i="81"/>
  <c r="J29" i="81"/>
  <c r="K28" i="81"/>
  <c r="J28" i="81"/>
  <c r="H28" i="81"/>
  <c r="J27" i="81"/>
  <c r="K27" i="81" s="1"/>
  <c r="H27" i="81"/>
  <c r="H26" i="81"/>
  <c r="G26" i="81"/>
  <c r="F26" i="81"/>
  <c r="E26" i="81"/>
  <c r="F25" i="81"/>
  <c r="E25" i="81"/>
  <c r="J24" i="81"/>
  <c r="K24" i="81" s="1"/>
  <c r="J23" i="81"/>
  <c r="K23" i="81" s="1"/>
  <c r="J22" i="81"/>
  <c r="K22" i="81" s="1"/>
  <c r="K21" i="81"/>
  <c r="J21" i="81"/>
  <c r="J20" i="81"/>
  <c r="K20" i="81" s="1"/>
  <c r="K19" i="81"/>
  <c r="J19" i="81"/>
  <c r="J18" i="81"/>
  <c r="K18" i="81" s="1"/>
  <c r="J17" i="81"/>
  <c r="K17" i="81" s="1"/>
  <c r="G17" i="81"/>
  <c r="F17" i="81"/>
  <c r="E17" i="81"/>
  <c r="J16" i="81"/>
  <c r="J15" i="81"/>
  <c r="K15" i="81" s="1"/>
  <c r="H15" i="81"/>
  <c r="G14" i="81"/>
  <c r="J13" i="81"/>
  <c r="F12" i="81"/>
  <c r="E12" i="81"/>
  <c r="F11" i="81"/>
  <c r="F10" i="81" s="1"/>
  <c r="E11" i="81"/>
  <c r="E10" i="81"/>
  <c r="H38" i="81" l="1"/>
  <c r="H44" i="81"/>
  <c r="J44" i="81"/>
  <c r="K44" i="81" s="1"/>
  <c r="G43" i="81"/>
  <c r="F62" i="81"/>
  <c r="J76" i="81"/>
  <c r="K76" i="81" s="1"/>
  <c r="H76" i="81"/>
  <c r="J96" i="81"/>
  <c r="K96" i="81" s="1"/>
  <c r="H96" i="81"/>
  <c r="K116" i="81"/>
  <c r="H149" i="81"/>
  <c r="J154" i="81"/>
  <c r="K154" i="81" s="1"/>
  <c r="H154" i="81"/>
  <c r="F198" i="81"/>
  <c r="H220" i="81"/>
  <c r="F254" i="81"/>
  <c r="F244" i="81" s="1"/>
  <c r="H255" i="81"/>
  <c r="G500" i="81"/>
  <c r="H500" i="81" s="1"/>
  <c r="J14" i="81"/>
  <c r="K14" i="81" s="1"/>
  <c r="H14" i="81"/>
  <c r="J74" i="81"/>
  <c r="K74" i="81" s="1"/>
  <c r="I73" i="81"/>
  <c r="I62" i="81" s="1"/>
  <c r="H121" i="81"/>
  <c r="J121" i="81"/>
  <c r="K121" i="81" s="1"/>
  <c r="G120" i="81"/>
  <c r="H249" i="81"/>
  <c r="J249" i="81"/>
  <c r="K249" i="81" s="1"/>
  <c r="I305" i="81"/>
  <c r="I291" i="81" s="1"/>
  <c r="J359" i="81"/>
  <c r="K359" i="81" s="1"/>
  <c r="G358" i="81"/>
  <c r="H359" i="81"/>
  <c r="G12" i="81"/>
  <c r="J26" i="81"/>
  <c r="K26" i="81" s="1"/>
  <c r="G25" i="81"/>
  <c r="H51" i="81"/>
  <c r="E62" i="81"/>
  <c r="E496" i="81" s="1"/>
  <c r="K89" i="81"/>
  <c r="E110" i="81"/>
  <c r="E129" i="81"/>
  <c r="H145" i="81"/>
  <c r="J145" i="81"/>
  <c r="K145" i="81" s="1"/>
  <c r="G141" i="81"/>
  <c r="H175" i="81"/>
  <c r="J175" i="81"/>
  <c r="K175" i="81" s="1"/>
  <c r="H192" i="81"/>
  <c r="G189" i="81"/>
  <c r="J192" i="81"/>
  <c r="K192" i="81" s="1"/>
  <c r="J254" i="81"/>
  <c r="K254" i="81" s="1"/>
  <c r="H254" i="81"/>
  <c r="J279" i="81"/>
  <c r="K279" i="81" s="1"/>
  <c r="H279" i="81"/>
  <c r="J335" i="81"/>
  <c r="K335" i="81" s="1"/>
  <c r="G334" i="81"/>
  <c r="F498" i="81"/>
  <c r="J500" i="81"/>
  <c r="K500" i="81" s="1"/>
  <c r="J30" i="81"/>
  <c r="K30" i="81" s="1"/>
  <c r="H30" i="81"/>
  <c r="J56" i="81"/>
  <c r="K56" i="81" s="1"/>
  <c r="G55" i="81"/>
  <c r="H79" i="81"/>
  <c r="J79" i="81"/>
  <c r="K79" i="81" s="1"/>
  <c r="G78" i="81"/>
  <c r="J112" i="81"/>
  <c r="K112" i="81" s="1"/>
  <c r="G111" i="81"/>
  <c r="H112" i="81"/>
  <c r="H126" i="81"/>
  <c r="J126" i="81"/>
  <c r="K126" i="81" s="1"/>
  <c r="K149" i="81"/>
  <c r="H153" i="81"/>
  <c r="J153" i="81"/>
  <c r="K153" i="81" s="1"/>
  <c r="F160" i="81"/>
  <c r="H174" i="81"/>
  <c r="J174" i="81"/>
  <c r="K174" i="81" s="1"/>
  <c r="J327" i="81"/>
  <c r="K327" i="81" s="1"/>
  <c r="H327" i="81"/>
  <c r="G322" i="81"/>
  <c r="G499" i="81"/>
  <c r="H499" i="81" s="1"/>
  <c r="E244" i="81"/>
  <c r="I266" i="81"/>
  <c r="E498" i="81"/>
  <c r="I498" i="81"/>
  <c r="I507" i="81" s="1"/>
  <c r="G50" i="81"/>
  <c r="G501" i="81"/>
  <c r="H501" i="81" s="1"/>
  <c r="G63" i="81"/>
  <c r="H70" i="81"/>
  <c r="G88" i="81"/>
  <c r="G104" i="81"/>
  <c r="H107" i="81"/>
  <c r="G115" i="81"/>
  <c r="H131" i="81"/>
  <c r="H137" i="81"/>
  <c r="G148" i="81"/>
  <c r="J155" i="81"/>
  <c r="K155" i="81" s="1"/>
  <c r="J199" i="81"/>
  <c r="K199" i="81" s="1"/>
  <c r="H199" i="81"/>
  <c r="G198" i="81"/>
  <c r="J231" i="81"/>
  <c r="K231" i="81" s="1"/>
  <c r="H231" i="81"/>
  <c r="J245" i="81"/>
  <c r="K245" i="81" s="1"/>
  <c r="H245" i="81"/>
  <c r="K246" i="81"/>
  <c r="H258" i="81"/>
  <c r="J258" i="81"/>
  <c r="K258" i="81" s="1"/>
  <c r="K259" i="81"/>
  <c r="G266" i="81"/>
  <c r="H272" i="81"/>
  <c r="J300" i="81"/>
  <c r="K300" i="81" s="1"/>
  <c r="H300" i="81"/>
  <c r="E334" i="81"/>
  <c r="J349" i="81"/>
  <c r="K349" i="81" s="1"/>
  <c r="H349" i="81"/>
  <c r="F353" i="81"/>
  <c r="E403" i="81"/>
  <c r="J430" i="81"/>
  <c r="K430" i="81" s="1"/>
  <c r="G429" i="81"/>
  <c r="H430" i="81"/>
  <c r="J469" i="81"/>
  <c r="K469" i="81" s="1"/>
  <c r="G467" i="81"/>
  <c r="H469" i="81"/>
  <c r="J481" i="81"/>
  <c r="K481" i="81" s="1"/>
  <c r="H481" i="81"/>
  <c r="K482" i="81"/>
  <c r="F501" i="81"/>
  <c r="H162" i="81"/>
  <c r="G161" i="81"/>
  <c r="J162" i="81"/>
  <c r="K162" i="81" s="1"/>
  <c r="J286" i="81"/>
  <c r="K286" i="81" s="1"/>
  <c r="H286" i="81"/>
  <c r="J381" i="81"/>
  <c r="K381" i="81" s="1"/>
  <c r="H381" i="81"/>
  <c r="E458" i="81"/>
  <c r="I38" i="81"/>
  <c r="I10" i="81" s="1"/>
  <c r="H60" i="81"/>
  <c r="J503" i="81"/>
  <c r="K503" i="81" s="1"/>
  <c r="E501" i="81"/>
  <c r="J502" i="81"/>
  <c r="K502" i="81" s="1"/>
  <c r="G73" i="81"/>
  <c r="J107" i="81"/>
  <c r="K107" i="81" s="1"/>
  <c r="G130" i="81"/>
  <c r="G136" i="81"/>
  <c r="J166" i="81"/>
  <c r="K166" i="81" s="1"/>
  <c r="H166" i="81"/>
  <c r="K167" i="81"/>
  <c r="H232" i="81"/>
  <c r="J239" i="81"/>
  <c r="K239" i="81" s="1"/>
  <c r="H239" i="81"/>
  <c r="K240" i="81"/>
  <c r="I244" i="81"/>
  <c r="J305" i="81"/>
  <c r="K305" i="81" s="1"/>
  <c r="K330" i="81"/>
  <c r="H346" i="81"/>
  <c r="G345" i="81"/>
  <c r="K365" i="81"/>
  <c r="G194" i="81"/>
  <c r="H267" i="81"/>
  <c r="J292" i="81"/>
  <c r="K292" i="81" s="1"/>
  <c r="H292" i="81"/>
  <c r="K296" i="81"/>
  <c r="H306" i="81"/>
  <c r="J355" i="81"/>
  <c r="K355" i="81" s="1"/>
  <c r="G354" i="81"/>
  <c r="J438" i="81"/>
  <c r="K438" i="81" s="1"/>
  <c r="G437" i="81"/>
  <c r="H438" i="81"/>
  <c r="J445" i="81"/>
  <c r="K445" i="81" s="1"/>
  <c r="G444" i="81"/>
  <c r="H445" i="81"/>
  <c r="J317" i="81"/>
  <c r="K317" i="81" s="1"/>
  <c r="G316" i="81"/>
  <c r="H329" i="81"/>
  <c r="K331" i="81"/>
  <c r="E353" i="81"/>
  <c r="K364" i="81"/>
  <c r="H365" i="81"/>
  <c r="K392" i="81"/>
  <c r="J411" i="81"/>
  <c r="K411" i="81" s="1"/>
  <c r="G410" i="81"/>
  <c r="H411" i="81"/>
  <c r="J451" i="81"/>
  <c r="K451" i="81" s="1"/>
  <c r="G450" i="81"/>
  <c r="H451" i="81"/>
  <c r="J471" i="81"/>
  <c r="K471" i="81" s="1"/>
  <c r="H471" i="81"/>
  <c r="H482" i="81"/>
  <c r="G383" i="81"/>
  <c r="J401" i="81"/>
  <c r="K401" i="81" s="1"/>
  <c r="H401" i="81"/>
  <c r="H415" i="81"/>
  <c r="J426" i="81"/>
  <c r="K426" i="81" s="1"/>
  <c r="G425" i="81"/>
  <c r="H426" i="81"/>
  <c r="J434" i="81"/>
  <c r="K434" i="81" s="1"/>
  <c r="G433" i="81"/>
  <c r="H434" i="81"/>
  <c r="J455" i="81"/>
  <c r="K455" i="81" s="1"/>
  <c r="G454" i="81"/>
  <c r="H455" i="81"/>
  <c r="F458" i="81"/>
  <c r="H378" i="81"/>
  <c r="G377" i="81"/>
  <c r="F392" i="81"/>
  <c r="H392" i="81" s="1"/>
  <c r="J404" i="81"/>
  <c r="K404" i="81" s="1"/>
  <c r="H404" i="81"/>
  <c r="J459" i="81"/>
  <c r="K459" i="81" s="1"/>
  <c r="G458" i="81"/>
  <c r="H459" i="81"/>
  <c r="J463" i="81"/>
  <c r="K463" i="81" s="1"/>
  <c r="H463" i="81"/>
  <c r="H477" i="81"/>
  <c r="J491" i="81"/>
  <c r="K491" i="81" s="1"/>
  <c r="G490" i="81"/>
  <c r="H503" i="81"/>
  <c r="G414" i="81"/>
  <c r="J73" i="81" l="1"/>
  <c r="K73" i="81" s="1"/>
  <c r="H73" i="81"/>
  <c r="J266" i="81"/>
  <c r="K266" i="81" s="1"/>
  <c r="H266" i="81"/>
  <c r="H88" i="81"/>
  <c r="J88" i="81"/>
  <c r="K88" i="81" s="1"/>
  <c r="H50" i="81"/>
  <c r="G49" i="81"/>
  <c r="J50" i="81"/>
  <c r="K50" i="81" s="1"/>
  <c r="H78" i="81"/>
  <c r="J78" i="81"/>
  <c r="K78" i="81" s="1"/>
  <c r="H55" i="81"/>
  <c r="J55" i="81"/>
  <c r="K55" i="81" s="1"/>
  <c r="G54" i="81"/>
  <c r="H334" i="81"/>
  <c r="J334" i="81"/>
  <c r="K334" i="81" s="1"/>
  <c r="H358" i="81"/>
  <c r="J358" i="81"/>
  <c r="K358" i="81" s="1"/>
  <c r="I496" i="81"/>
  <c r="G244" i="81"/>
  <c r="H115" i="81"/>
  <c r="J115" i="81"/>
  <c r="K115" i="81" s="1"/>
  <c r="J501" i="81"/>
  <c r="K501" i="81" s="1"/>
  <c r="H120" i="81"/>
  <c r="G119" i="81"/>
  <c r="J120" i="81"/>
  <c r="K120" i="81" s="1"/>
  <c r="H161" i="81"/>
  <c r="J161" i="81"/>
  <c r="K161" i="81" s="1"/>
  <c r="G160" i="81"/>
  <c r="H345" i="81"/>
  <c r="J345" i="81"/>
  <c r="K345" i="81" s="1"/>
  <c r="J136" i="81"/>
  <c r="K136" i="81" s="1"/>
  <c r="H136" i="81"/>
  <c r="J414" i="81"/>
  <c r="K414" i="81" s="1"/>
  <c r="H414" i="81"/>
  <c r="H458" i="81"/>
  <c r="J458" i="81"/>
  <c r="K458" i="81" s="1"/>
  <c r="J433" i="81"/>
  <c r="K433" i="81" s="1"/>
  <c r="H433" i="81"/>
  <c r="H383" i="81"/>
  <c r="J383" i="81"/>
  <c r="K383" i="81" s="1"/>
  <c r="H444" i="81"/>
  <c r="J444" i="81"/>
  <c r="K444" i="81" s="1"/>
  <c r="J130" i="81"/>
  <c r="K130" i="81" s="1"/>
  <c r="H130" i="81"/>
  <c r="J429" i="81"/>
  <c r="K429" i="81" s="1"/>
  <c r="H429" i="81"/>
  <c r="J198" i="81"/>
  <c r="K198" i="81" s="1"/>
  <c r="H198" i="81"/>
  <c r="H148" i="81"/>
  <c r="G147" i="81"/>
  <c r="J148" i="81"/>
  <c r="K148" i="81" s="1"/>
  <c r="H63" i="81"/>
  <c r="G62" i="81"/>
  <c r="J63" i="81"/>
  <c r="K63" i="81" s="1"/>
  <c r="E507" i="81"/>
  <c r="J322" i="81"/>
  <c r="K322" i="81" s="1"/>
  <c r="H322" i="81"/>
  <c r="H111" i="81"/>
  <c r="G110" i="81"/>
  <c r="J111" i="81"/>
  <c r="K111" i="81" s="1"/>
  <c r="J499" i="81"/>
  <c r="K499" i="81" s="1"/>
  <c r="G498" i="81"/>
  <c r="J12" i="81"/>
  <c r="G11" i="81"/>
  <c r="H12" i="81"/>
  <c r="H490" i="81"/>
  <c r="J490" i="81"/>
  <c r="K490" i="81" s="1"/>
  <c r="G489" i="81"/>
  <c r="H450" i="81"/>
  <c r="J450" i="81"/>
  <c r="K450" i="81" s="1"/>
  <c r="H25" i="81"/>
  <c r="J25" i="81"/>
  <c r="K25" i="81" s="1"/>
  <c r="G420" i="81"/>
  <c r="J425" i="81"/>
  <c r="K425" i="81" s="1"/>
  <c r="H425" i="81"/>
  <c r="H437" i="81"/>
  <c r="J437" i="81"/>
  <c r="K437" i="81" s="1"/>
  <c r="H377" i="81"/>
  <c r="G376" i="81"/>
  <c r="J377" i="81"/>
  <c r="K377" i="81" s="1"/>
  <c r="J454" i="81"/>
  <c r="K454" i="81" s="1"/>
  <c r="H454" i="81"/>
  <c r="F376" i="81"/>
  <c r="F496" i="81" s="1"/>
  <c r="G403" i="81"/>
  <c r="H410" i="81"/>
  <c r="J410" i="81"/>
  <c r="K410" i="81" s="1"/>
  <c r="H316" i="81"/>
  <c r="J316" i="81"/>
  <c r="K316" i="81" s="1"/>
  <c r="H354" i="81"/>
  <c r="J354" i="81"/>
  <c r="K354" i="81" s="1"/>
  <c r="G353" i="81"/>
  <c r="G291" i="81"/>
  <c r="J194" i="81"/>
  <c r="K194" i="81" s="1"/>
  <c r="H194" i="81"/>
  <c r="J467" i="81"/>
  <c r="K467" i="81" s="1"/>
  <c r="H467" i="81"/>
  <c r="H104" i="81"/>
  <c r="J104" i="81"/>
  <c r="K104" i="81" s="1"/>
  <c r="F507" i="81"/>
  <c r="J189" i="81"/>
  <c r="K189" i="81" s="1"/>
  <c r="H189" i="81"/>
  <c r="H141" i="81"/>
  <c r="G140" i="81"/>
  <c r="G129" i="81" s="1"/>
  <c r="J141" i="81"/>
  <c r="K141" i="81" s="1"/>
  <c r="J38" i="81"/>
  <c r="K38" i="81" s="1"/>
  <c r="H43" i="81"/>
  <c r="J43" i="81"/>
  <c r="K43" i="81" s="1"/>
  <c r="J129" i="81" l="1"/>
  <c r="K129" i="81" s="1"/>
  <c r="H129" i="81"/>
  <c r="J62" i="81"/>
  <c r="K62" i="81" s="1"/>
  <c r="H62" i="81"/>
  <c r="H291" i="81"/>
  <c r="J291" i="81"/>
  <c r="K291" i="81" s="1"/>
  <c r="H403" i="81"/>
  <c r="J403" i="81"/>
  <c r="K403" i="81" s="1"/>
  <c r="J489" i="81"/>
  <c r="K489" i="81" s="1"/>
  <c r="H489" i="81"/>
  <c r="H11" i="81"/>
  <c r="G10" i="81"/>
  <c r="J11" i="81"/>
  <c r="K11" i="81" s="1"/>
  <c r="J54" i="81"/>
  <c r="K54" i="81" s="1"/>
  <c r="H54" i="81"/>
  <c r="H420" i="81"/>
  <c r="J420" i="81"/>
  <c r="K420" i="81" s="1"/>
  <c r="J140" i="81"/>
  <c r="K140" i="81" s="1"/>
  <c r="H140" i="81"/>
  <c r="J353" i="81"/>
  <c r="K353" i="81" s="1"/>
  <c r="H353" i="81"/>
  <c r="J376" i="81"/>
  <c r="K376" i="81" s="1"/>
  <c r="H376" i="81"/>
  <c r="J498" i="81"/>
  <c r="K12" i="81"/>
  <c r="J110" i="81"/>
  <c r="K110" i="81" s="1"/>
  <c r="H110" i="81"/>
  <c r="J160" i="81"/>
  <c r="K160" i="81" s="1"/>
  <c r="H160" i="81"/>
  <c r="H119" i="81"/>
  <c r="J119" i="81"/>
  <c r="K119" i="81" s="1"/>
  <c r="H498" i="81"/>
  <c r="G507" i="81"/>
  <c r="J147" i="81"/>
  <c r="K147" i="81" s="1"/>
  <c r="H147" i="81"/>
  <c r="H244" i="81"/>
  <c r="J244" i="81"/>
  <c r="K244" i="81" s="1"/>
  <c r="J49" i="81"/>
  <c r="K49" i="81" s="1"/>
  <c r="H49" i="81"/>
  <c r="G496" i="81" l="1"/>
  <c r="J10" i="81"/>
  <c r="K10" i="81" s="1"/>
  <c r="H10" i="81"/>
  <c r="K498" i="81"/>
  <c r="J496" i="81" l="1"/>
  <c r="K496" i="81" s="1"/>
  <c r="H496" i="81"/>
  <c r="D181" i="80" l="1"/>
  <c r="E23" i="80"/>
  <c r="E22" i="80"/>
  <c r="G21" i="80"/>
  <c r="F21" i="80"/>
  <c r="E21" i="80"/>
  <c r="E20" i="80"/>
  <c r="E19" i="80"/>
  <c r="G18" i="80"/>
  <c r="G17" i="80" s="1"/>
  <c r="F18" i="80"/>
  <c r="F17" i="80" s="1"/>
  <c r="E18" i="80"/>
  <c r="E17" i="80"/>
  <c r="E24" i="80" s="1"/>
  <c r="E16" i="80"/>
  <c r="E15" i="80"/>
  <c r="G14" i="80"/>
  <c r="G13" i="80" s="1"/>
  <c r="F14" i="80"/>
  <c r="F13" i="80" s="1"/>
  <c r="E14" i="80"/>
  <c r="E13" i="80"/>
  <c r="E12" i="80"/>
  <c r="E11" i="80"/>
  <c r="G10" i="80"/>
  <c r="F10" i="80"/>
  <c r="F9" i="80" s="1"/>
  <c r="E10" i="80"/>
  <c r="G9" i="80"/>
  <c r="E9" i="80"/>
  <c r="E8" i="80"/>
  <c r="E7" i="80"/>
  <c r="G6" i="80"/>
  <c r="G5" i="80" s="1"/>
  <c r="F6" i="80"/>
  <c r="F5" i="80" s="1"/>
  <c r="E6" i="80"/>
  <c r="E5" i="80"/>
  <c r="E219" i="79"/>
  <c r="J81" i="79"/>
  <c r="G80" i="79"/>
  <c r="F80" i="79" s="1"/>
  <c r="E80" i="79" s="1"/>
  <c r="G79" i="79"/>
  <c r="F79" i="79" s="1"/>
  <c r="E79" i="79" s="1"/>
  <c r="G78" i="79"/>
  <c r="F78" i="79" s="1"/>
  <c r="E78" i="79" s="1"/>
  <c r="G77" i="79"/>
  <c r="F77" i="79"/>
  <c r="E77" i="79" s="1"/>
  <c r="G76" i="79"/>
  <c r="F76" i="79"/>
  <c r="E76" i="79"/>
  <c r="G75" i="79"/>
  <c r="F75" i="79" s="1"/>
  <c r="E75" i="79" s="1"/>
  <c r="G74" i="79"/>
  <c r="F74" i="79" s="1"/>
  <c r="E74" i="79" s="1"/>
  <c r="G73" i="79"/>
  <c r="F73" i="79"/>
  <c r="E73" i="79" s="1"/>
  <c r="G72" i="79"/>
  <c r="F72" i="79" s="1"/>
  <c r="E72" i="79" s="1"/>
  <c r="G71" i="79"/>
  <c r="F71" i="79" s="1"/>
  <c r="E71" i="79" s="1"/>
  <c r="G70" i="79"/>
  <c r="F70" i="79" s="1"/>
  <c r="E70" i="79" s="1"/>
  <c r="G69" i="79"/>
  <c r="F69" i="79"/>
  <c r="E69" i="79" s="1"/>
  <c r="G68" i="79"/>
  <c r="F68" i="79" s="1"/>
  <c r="E68" i="79" s="1"/>
  <c r="G67" i="79"/>
  <c r="F67" i="79" s="1"/>
  <c r="E67" i="79" s="1"/>
  <c r="G66" i="79"/>
  <c r="F66" i="79" s="1"/>
  <c r="E66" i="79" s="1"/>
  <c r="G65" i="79"/>
  <c r="F65" i="79"/>
  <c r="E65" i="79" s="1"/>
  <c r="G64" i="79"/>
  <c r="F64" i="79"/>
  <c r="E64" i="79"/>
  <c r="F63" i="79"/>
  <c r="E63" i="79" s="1"/>
  <c r="K62" i="79"/>
  <c r="I62" i="79"/>
  <c r="I61" i="79" s="1"/>
  <c r="H62" i="79"/>
  <c r="G62" i="79" s="1"/>
  <c r="F62" i="79" s="1"/>
  <c r="E62" i="79" s="1"/>
  <c r="K61" i="79"/>
  <c r="G60" i="79"/>
  <c r="F60" i="79"/>
  <c r="E60" i="79" s="1"/>
  <c r="G59" i="79"/>
  <c r="F59" i="79"/>
  <c r="E59" i="79"/>
  <c r="F58" i="79"/>
  <c r="E58" i="79" s="1"/>
  <c r="K57" i="79"/>
  <c r="I57" i="79"/>
  <c r="I56" i="79" s="1"/>
  <c r="H57" i="79"/>
  <c r="G57" i="79" s="1"/>
  <c r="F57" i="79" s="1"/>
  <c r="K56" i="79"/>
  <c r="K81" i="79" s="1"/>
  <c r="G55" i="79"/>
  <c r="F55" i="79"/>
  <c r="E55" i="79" s="1"/>
  <c r="G54" i="79"/>
  <c r="F54" i="79"/>
  <c r="E54" i="79"/>
  <c r="I53" i="79"/>
  <c r="I51" i="79" s="1"/>
  <c r="G51" i="79" s="1"/>
  <c r="H53" i="79"/>
  <c r="G52" i="79"/>
  <c r="F52" i="79"/>
  <c r="E52" i="79"/>
  <c r="L51" i="79"/>
  <c r="L81" i="79" s="1"/>
  <c r="H51" i="79"/>
  <c r="G50" i="79"/>
  <c r="F50" i="79"/>
  <c r="E50" i="79" s="1"/>
  <c r="G49" i="79"/>
  <c r="F49" i="79"/>
  <c r="E49" i="79"/>
  <c r="G48" i="79"/>
  <c r="F48" i="79" s="1"/>
  <c r="E48" i="79" s="1"/>
  <c r="G47" i="79"/>
  <c r="F47" i="79" s="1"/>
  <c r="E47" i="79" s="1"/>
  <c r="G46" i="79"/>
  <c r="F46" i="79"/>
  <c r="E46" i="79" s="1"/>
  <c r="G45" i="79"/>
  <c r="F45" i="79"/>
  <c r="E45" i="79"/>
  <c r="G44" i="79"/>
  <c r="F44" i="79" s="1"/>
  <c r="E44" i="79" s="1"/>
  <c r="G43" i="79"/>
  <c r="F43" i="79" s="1"/>
  <c r="E43" i="79" s="1"/>
  <c r="G42" i="79"/>
  <c r="F42" i="79"/>
  <c r="E42" i="79" s="1"/>
  <c r="G41" i="79"/>
  <c r="F41" i="79" s="1"/>
  <c r="E41" i="79" s="1"/>
  <c r="F40" i="79"/>
  <c r="E40" i="79" s="1"/>
  <c r="K39" i="79"/>
  <c r="I39" i="79"/>
  <c r="H39" i="79"/>
  <c r="G39" i="79" s="1"/>
  <c r="F39" i="79" s="1"/>
  <c r="E39" i="79" s="1"/>
  <c r="G38" i="79"/>
  <c r="F38" i="79" s="1"/>
  <c r="E38" i="79" s="1"/>
  <c r="G37" i="79"/>
  <c r="F37" i="79" s="1"/>
  <c r="E37" i="79" s="1"/>
  <c r="G36" i="79"/>
  <c r="F36" i="79"/>
  <c r="E36" i="79" s="1"/>
  <c r="G35" i="79"/>
  <c r="F35" i="79"/>
  <c r="E35" i="79"/>
  <c r="G34" i="79"/>
  <c r="F34" i="79" s="1"/>
  <c r="E34" i="79" s="1"/>
  <c r="I33" i="79"/>
  <c r="I28" i="79" s="1"/>
  <c r="H33" i="79"/>
  <c r="G33" i="79" s="1"/>
  <c r="F33" i="79" s="1"/>
  <c r="E33" i="79" s="1"/>
  <c r="G32" i="79"/>
  <c r="F32" i="79" s="1"/>
  <c r="E32" i="79" s="1"/>
  <c r="G31" i="79"/>
  <c r="F31" i="79" s="1"/>
  <c r="E31" i="79" s="1"/>
  <c r="G30" i="79"/>
  <c r="F30" i="79"/>
  <c r="E30" i="79" s="1"/>
  <c r="H29" i="79"/>
  <c r="G29" i="79"/>
  <c r="F29" i="79"/>
  <c r="E29" i="79" s="1"/>
  <c r="K28" i="79"/>
  <c r="H28" i="79"/>
  <c r="H27" i="79"/>
  <c r="G27" i="79" s="1"/>
  <c r="F27" i="79" s="1"/>
  <c r="E27" i="79" s="1"/>
  <c r="H26" i="79"/>
  <c r="G26" i="79" s="1"/>
  <c r="F26" i="79" s="1"/>
  <c r="E26" i="79" s="1"/>
  <c r="H25" i="79"/>
  <c r="G25" i="79" s="1"/>
  <c r="F25" i="79" s="1"/>
  <c r="E25" i="79" s="1"/>
  <c r="H24" i="79"/>
  <c r="G24" i="79" s="1"/>
  <c r="F24" i="79" s="1"/>
  <c r="E24" i="79" s="1"/>
  <c r="G22" i="79"/>
  <c r="F22" i="79" s="1"/>
  <c r="E22" i="79" s="1"/>
  <c r="G21" i="79"/>
  <c r="F21" i="79"/>
  <c r="E21" i="79" s="1"/>
  <c r="G20" i="79"/>
  <c r="F20" i="79" s="1"/>
  <c r="E20" i="79" s="1"/>
  <c r="H19" i="79"/>
  <c r="G19" i="79" s="1"/>
  <c r="F19" i="79" s="1"/>
  <c r="E19" i="79" s="1"/>
  <c r="H18" i="79"/>
  <c r="G18" i="79" s="1"/>
  <c r="F18" i="79" s="1"/>
  <c r="E18" i="79" s="1"/>
  <c r="G16" i="79"/>
  <c r="F16" i="79" s="1"/>
  <c r="E16" i="79" s="1"/>
  <c r="G15" i="79"/>
  <c r="F15" i="79" s="1"/>
  <c r="E15" i="79" s="1"/>
  <c r="G14" i="79"/>
  <c r="F14" i="79"/>
  <c r="E14" i="79" s="1"/>
  <c r="I13" i="79"/>
  <c r="H13" i="79"/>
  <c r="G13" i="79"/>
  <c r="F13" i="79" s="1"/>
  <c r="E13" i="79" s="1"/>
  <c r="F12" i="79"/>
  <c r="E12" i="79"/>
  <c r="J11" i="79"/>
  <c r="I11" i="79"/>
  <c r="H11" i="79"/>
  <c r="G11" i="79"/>
  <c r="F11" i="79" s="1"/>
  <c r="E11" i="79" s="1"/>
  <c r="G10" i="79"/>
  <c r="F10" i="79"/>
  <c r="E10" i="79" s="1"/>
  <c r="G9" i="79"/>
  <c r="F9" i="79"/>
  <c r="E9" i="79"/>
  <c r="G8" i="79"/>
  <c r="F8" i="79" s="1"/>
  <c r="E8" i="79" s="1"/>
  <c r="H7" i="79"/>
  <c r="G7" i="79" s="1"/>
  <c r="F7" i="79" s="1"/>
  <c r="D155" i="78"/>
  <c r="E37" i="78"/>
  <c r="E36" i="78" s="1"/>
  <c r="E34" i="78"/>
  <c r="E33" i="78" s="1"/>
  <c r="E31" i="78"/>
  <c r="E29" i="78"/>
  <c r="E28" i="78"/>
  <c r="E26" i="78"/>
  <c r="E24" i="78"/>
  <c r="E22" i="78"/>
  <c r="E21" i="78"/>
  <c r="E19" i="78"/>
  <c r="E18" i="78" s="1"/>
  <c r="E16" i="78"/>
  <c r="E15" i="78"/>
  <c r="E13" i="78"/>
  <c r="E11" i="78"/>
  <c r="E10" i="78" s="1"/>
  <c r="E8" i="78"/>
  <c r="E7" i="78" s="1"/>
  <c r="F56" i="79" l="1"/>
  <c r="E57" i="79"/>
  <c r="F6" i="79"/>
  <c r="E7" i="79"/>
  <c r="E6" i="79" s="1"/>
  <c r="F24" i="80"/>
  <c r="I81" i="79"/>
  <c r="E39" i="78"/>
  <c r="G28" i="79"/>
  <c r="F28" i="79" s="1"/>
  <c r="E28" i="79" s="1"/>
  <c r="G24" i="80"/>
  <c r="G53" i="79"/>
  <c r="F53" i="79" s="1"/>
  <c r="H56" i="79"/>
  <c r="H61" i="79"/>
  <c r="G61" i="79" s="1"/>
  <c r="F61" i="79" s="1"/>
  <c r="E61" i="79" s="1"/>
  <c r="H6" i="79"/>
  <c r="G6" i="79" s="1"/>
  <c r="H23" i="79"/>
  <c r="G23" i="79" s="1"/>
  <c r="F23" i="79" s="1"/>
  <c r="E23" i="79" s="1"/>
  <c r="E53" i="79" l="1"/>
  <c r="E51" i="79" s="1"/>
  <c r="F51" i="79"/>
  <c r="H81" i="79"/>
  <c r="G56" i="79"/>
  <c r="G81" i="79" s="1"/>
  <c r="E56" i="79"/>
  <c r="E81" i="79" s="1"/>
  <c r="F81" i="79"/>
  <c r="F52" i="37" l="1"/>
  <c r="E19" i="54" l="1"/>
  <c r="J7" i="69" l="1"/>
  <c r="J6" i="69" s="1"/>
  <c r="J10" i="69"/>
  <c r="J9" i="69" s="1"/>
  <c r="J19" i="69"/>
  <c r="J21" i="69"/>
  <c r="J24" i="69"/>
  <c r="J13" i="69" l="1"/>
  <c r="E21" i="55" l="1"/>
  <c r="E13" i="41"/>
  <c r="E12" i="41" s="1"/>
  <c r="G12" i="41"/>
  <c r="F12" i="41"/>
  <c r="E8" i="55"/>
  <c r="F29" i="37" l="1"/>
  <c r="F33" i="37" s="1"/>
  <c r="F18" i="37"/>
  <c r="F15" i="37"/>
  <c r="F24" i="37" s="1"/>
  <c r="F35" i="37"/>
  <c r="F53" i="37"/>
  <c r="F36" i="37" l="1"/>
  <c r="F7" i="41" l="1"/>
  <c r="G7" i="41"/>
  <c r="E6" i="40" l="1"/>
  <c r="F7" i="40"/>
  <c r="G7" i="40"/>
  <c r="E7" i="55"/>
  <c r="E9" i="55"/>
  <c r="E11" i="55"/>
  <c r="E12" i="55"/>
  <c r="E13" i="55"/>
  <c r="E14" i="55"/>
  <c r="E15" i="55"/>
  <c r="E16" i="55"/>
  <c r="E17" i="55"/>
  <c r="E18" i="55"/>
  <c r="E19" i="55"/>
  <c r="E20" i="55"/>
  <c r="E22" i="55"/>
  <c r="E23" i="55"/>
  <c r="E6" i="55"/>
  <c r="E5" i="55"/>
  <c r="E13" i="54" l="1"/>
  <c r="E12" i="54"/>
  <c r="E11" i="54"/>
  <c r="E28" i="54"/>
  <c r="E33" i="54"/>
  <c r="E35" i="54"/>
  <c r="E49" i="54" l="1"/>
  <c r="G24" i="55"/>
  <c r="E24" i="55" s="1"/>
  <c r="E9" i="41" l="1"/>
  <c r="H19" i="69" l="1"/>
  <c r="I19" i="69"/>
  <c r="K19" i="69"/>
  <c r="G20" i="69"/>
  <c r="F20" i="69" s="1"/>
  <c r="F19" i="69" s="1"/>
  <c r="H21" i="69"/>
  <c r="I21" i="69"/>
  <c r="K21" i="69"/>
  <c r="K24" i="69" s="1"/>
  <c r="G22" i="69"/>
  <c r="F22" i="69" s="1"/>
  <c r="G23" i="69"/>
  <c r="F23" i="69" s="1"/>
  <c r="H24" i="69"/>
  <c r="F21" i="69" l="1"/>
  <c r="F24" i="69" s="1"/>
  <c r="G19" i="69"/>
  <c r="G21" i="69"/>
  <c r="G24" i="69" l="1"/>
  <c r="E8" i="41" l="1"/>
  <c r="E7" i="41" s="1"/>
  <c r="C16" i="44" l="1"/>
  <c r="C7" i="44"/>
  <c r="C4" i="44" l="1"/>
  <c r="D4" i="44"/>
  <c r="D7" i="44"/>
  <c r="C14" i="44"/>
  <c r="D14" i="44"/>
  <c r="D16" i="44"/>
  <c r="C21" i="44"/>
  <c r="D21" i="44"/>
  <c r="F7" i="42"/>
  <c r="F9" i="42" s="1"/>
  <c r="G7" i="42"/>
  <c r="G9" i="42" s="1"/>
  <c r="E8" i="42"/>
  <c r="E7" i="42" s="1"/>
  <c r="E9" i="42" s="1"/>
  <c r="E7" i="40"/>
  <c r="C23" i="44" l="1"/>
  <c r="D23" i="44"/>
</calcChain>
</file>

<file path=xl/sharedStrings.xml><?xml version="1.0" encoding="utf-8"?>
<sst xmlns="http://schemas.openxmlformats.org/spreadsheetml/2006/main" count="6269" uniqueCount="1290">
  <si>
    <t>Dział</t>
  </si>
  <si>
    <t>Rozdział</t>
  </si>
  <si>
    <t>w tym:</t>
  </si>
  <si>
    <t>75075</t>
  </si>
  <si>
    <t>750</t>
  </si>
  <si>
    <t>Paragraf</t>
  </si>
  <si>
    <t>Promocja jednostek samorządu terytorialnego</t>
  </si>
  <si>
    <t>600</t>
  </si>
  <si>
    <t>60003</t>
  </si>
  <si>
    <t>2630</t>
  </si>
  <si>
    <t>921</t>
  </si>
  <si>
    <t>92116</t>
  </si>
  <si>
    <t>Biblioteki</t>
  </si>
  <si>
    <t>2330</t>
  </si>
  <si>
    <t>dotacje na zadania bieżące</t>
  </si>
  <si>
    <t>Lp.</t>
  </si>
  <si>
    <t>DOCHODY OGÓŁEM</t>
  </si>
  <si>
    <t>KULTURA I OCHRONA DZIEDZICTWA NARODOWEGO</t>
  </si>
  <si>
    <t>ADMINISTRACJA PUBLICZNA</t>
  </si>
  <si>
    <t>majątkowe</t>
  </si>
  <si>
    <t>bieżące</t>
  </si>
  <si>
    <t>w złotych</t>
  </si>
  <si>
    <t>OGÓŁEM</t>
  </si>
  <si>
    <t>2. Dotacje dla jednostek spoza sektora finansów publicznych</t>
  </si>
  <si>
    <t>1. Dotacje dla jednostek sektora finansów publicznych</t>
  </si>
  <si>
    <t xml:space="preserve"> OGÓŁEM</t>
  </si>
  <si>
    <t>Razem: ZAZ</t>
  </si>
  <si>
    <t>Zakład Aktywności Zawodowej w Woli Żyrakowskiej</t>
  </si>
  <si>
    <t>Zakład Aktywności Zawodowej w Woli Dalszej</t>
  </si>
  <si>
    <t>Zakład Aktywności Zawodowej w Jarosławiu</t>
  </si>
  <si>
    <t>Zakład Aktywności Zawodowej w Woli Rafałowskiej</t>
  </si>
  <si>
    <t>Zakład Aktywności Zawodowej w Nowej Sarzynie</t>
  </si>
  <si>
    <t>Zakład Aktywności Zawodowej w Rymanowie Zdroju</t>
  </si>
  <si>
    <t>Kwota 
w złotych</t>
  </si>
  <si>
    <t>Nazwa jednostki</t>
  </si>
  <si>
    <t>Zakład Aktywności Zawodowej w Maliniu</t>
  </si>
  <si>
    <t>Razem: SPZOZ</t>
  </si>
  <si>
    <t xml:space="preserve">Wojewódzki Ośrodek Medycyny Pracy w Rzeszowie </t>
  </si>
  <si>
    <t>Razem: Szpitale ogólne</t>
  </si>
  <si>
    <t>Wojewódzki Szpital im. Jana Pawła II w Krośnie</t>
  </si>
  <si>
    <t>Razem: Instytucje kultury</t>
  </si>
  <si>
    <t>Wojewódzka i Miejska Biblioteka Publiczna 
w Rzeszowie</t>
  </si>
  <si>
    <t>Arboretum i Zakład Fizjografii w Bolestraszycach</t>
  </si>
  <si>
    <t>Galeria Sztuki Współczesnej w Przemyślu</t>
  </si>
  <si>
    <t>Filharmonia Podkarpacka im. A. Malawskiego w Rzeszowie</t>
  </si>
  <si>
    <t>Teatr im. W. Siemaszkowej w Rzeszowie</t>
  </si>
  <si>
    <t>Razem: Domy kultury</t>
  </si>
  <si>
    <t>Centrum Kulturalne w Przemyślu</t>
  </si>
  <si>
    <t>Wojewódzki Dom Kultury w Rzeszowie</t>
  </si>
  <si>
    <t>Razem: Muzea</t>
  </si>
  <si>
    <t>Muzeum Marii Konopnickiej w Żarnowcu</t>
  </si>
  <si>
    <t>Muzeum Budownictwa Ludowego w Sanoku</t>
  </si>
  <si>
    <t>Muzeum Narodowe Ziemi Przemyskiej  w  Przemyślu</t>
  </si>
  <si>
    <t xml:space="preserve">Muzeum Kultury Ludowej w Kolbuszowej </t>
  </si>
  <si>
    <t>Muzeum Podkarpackie w Krośnie</t>
  </si>
  <si>
    <t>Muzeum Okręgowe w Rzeszowie</t>
  </si>
  <si>
    <t xml:space="preserve">SZCZEGÓŁOWY PODZIAŁ DOTACJI PODMIOTOWYCH  
DLA JEDNOSTEK SEKTORA FINANSÓW PUBLICZNYCH I JEDNOSTKEK SPOZA SEKTORA FINANSÓW PUBLICZNYCH  </t>
  </si>
  <si>
    <t>w tym wydatki:</t>
  </si>
  <si>
    <t>w  złotych</t>
  </si>
  <si>
    <t xml:space="preserve">OGÓŁEM </t>
  </si>
  <si>
    <t xml:space="preserve"> WYKAZ DOTACJI  PRZEDMIOTOWYCH DLA JEDNOSTEK SPOZA SEKTORA FINANSÓW PUBLICZNYCH</t>
  </si>
  <si>
    <t>WYDATKI OGÓŁEM</t>
  </si>
  <si>
    <t>Przeznaczenie</t>
  </si>
  <si>
    <t>Jednostka samorządu</t>
  </si>
  <si>
    <t>Nazwa</t>
  </si>
  <si>
    <t>Realizacja  porozumienia dotyczącego dofinansowania zadań związanych z funkcjonowaniem Domu Polski Wschodniej w Brukseli</t>
  </si>
  <si>
    <t>Województwo Warmińsko-Mazurskie</t>
  </si>
  <si>
    <t xml:space="preserve">WYKAZ DOTACJI CELOWYCH NA ZADANIA POWIERZONE DO REALIZACJI 
INNYM JEDNOSTKOM SAMORZĄDU TERYTORIALNEGO </t>
  </si>
  <si>
    <t>.</t>
  </si>
  <si>
    <t>KULTURA I OCHRONA 
DZIEDZICTWA NARODOWEGO</t>
  </si>
  <si>
    <t>pozostałe 
wydatki bieżące</t>
  </si>
  <si>
    <t>wynagrodzenia 
i składki od nich naliczane</t>
  </si>
  <si>
    <t>Wydatki 
majątkowe</t>
  </si>
  <si>
    <t>Wydatki 
bieżące</t>
  </si>
  <si>
    <t>Wydatki 
OGÓŁEM</t>
  </si>
  <si>
    <t xml:space="preserve">WYDATKI  NA  ZADANIA  REALIZOWANE  NA  PODSTAWIE  POROZUMIEŃ  
Z  JEDNOSTKAMI  SAMORZĄDU  TERYTORIALNEGO  </t>
  </si>
  <si>
    <t>Kwota</t>
  </si>
  <si>
    <t xml:space="preserve">Rozdział </t>
  </si>
  <si>
    <t xml:space="preserve">DOCHODY Z TYTUŁU DOTACJI OTRZYMANYCH NA PODSTAWIE POROZUMIEŃ 
Z JEDNOSTKAMI SAMORZĄDU TERYTORIALNEGO  </t>
  </si>
  <si>
    <t xml:space="preserve">ZESTAWIENIE  DOCHODÓW  I  WYDATKÓW  ZWIĄZANYCH  
Z  REALIZACJĄ  ZADAŃ  WSPÓLNYCH  REALIZOWANYCH  NA  PODSTAWIE 
POROZUMIEŃ  MIĘDZY  JEDNOSTKAMI  SAMORZĄDU  TERYTORIALNEGO </t>
  </si>
  <si>
    <t xml:space="preserve">       OGÓŁEM </t>
  </si>
  <si>
    <t>Rozdział 85410</t>
  </si>
  <si>
    <t xml:space="preserve">Biblioteka  Pedagogiczna  w  Tarnobrzegu  </t>
  </si>
  <si>
    <t>Pedagogiczna  Biblioteka  Wojewódzka  w  Przemyślu</t>
  </si>
  <si>
    <t>Pedagogiczna  Biblioteka  Wojewódzka  w  Krośnie</t>
  </si>
  <si>
    <t>Pedagogiczna  Biblioteka  Wojewódzka  w Rzeszowie</t>
  </si>
  <si>
    <t>Rozdział 80147</t>
  </si>
  <si>
    <t>Podkarpacke Centrum Edukacji  Nauczycieli w Rzeszowie</t>
  </si>
  <si>
    <t>Rozdział 80146</t>
  </si>
  <si>
    <t>Rozdział 80130</t>
  </si>
  <si>
    <t>Zespół  Szkół  Specjalnych  w  Rymanowie  Zdroju</t>
  </si>
  <si>
    <t>Rozdział 80102</t>
  </si>
  <si>
    <t>Wydatki</t>
  </si>
  <si>
    <t>Dochody</t>
  </si>
  <si>
    <t>Nazwa  jednostki</t>
  </si>
  <si>
    <t xml:space="preserve">PLAN DOCHODÓW GROMADZONYCH NA WYODRĘBNIONYM RACHUNKU PRZEZ WOJEWÓDZKIE OŚWIATOWE JEDNOSTKI BUDŻETOWE, 
ORAZ WYDATKÓW NIMI FINANSOWANYCH </t>
  </si>
  <si>
    <t>Zakład Aktywności Zawodowej w Starych Oleszycach</t>
  </si>
  <si>
    <t>Medyczno-Społeczne Centrum Kształcenia Zawodowego 
i Ustawicznego w Rzeszowie</t>
  </si>
  <si>
    <t>Medyczno-Społeczne Centrum Kształcenia Zawodowego 
i Ustawicznego w Stalowej  Woli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</si>
  <si>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</si>
  <si>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</si>
  <si>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</si>
  <si>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Mielcu                         </t>
  </si>
  <si>
    <t xml:space="preserve">Wojewódzki Szpital im. Św. Ojca Pio w Przemyślu  </t>
  </si>
  <si>
    <t>Medyczno-Społeczne Centrum Kształcenia Zawodowego 
i Ustawicznego  w  Rzeszowie</t>
  </si>
  <si>
    <t xml:space="preserve">Zespół Szkół  przy Klinicznym Szpitalu Wojewódzkim Nr 2 w  Rzeszowie                 </t>
  </si>
  <si>
    <t>Zakład Aktywności Zawodowej w Rzeszowie (ul. Rejtana 10)</t>
  </si>
  <si>
    <t xml:space="preserve">Kliniczny Szpital Wojewódzki Nr 2 im. Św. Jadwigi Królowej w Rzeszowie </t>
  </si>
  <si>
    <t>WYDATKI  NA  POMOC  FINANSOWĄ  UDZIELANĄ  INNYM  JEDNOSTKOM  SAMORZĄDU  TERYTORIALNEGO
NA  DOFINANSOWANIE  WŁASNYCH ZADAŃ BIEŻĄCYCH ORAZ ZADAŃ INWESTYCYJNYCH I ZAKUPÓW INWESTYCYJNYCH</t>
  </si>
  <si>
    <t>010</t>
  </si>
  <si>
    <t>01042</t>
  </si>
  <si>
    <t>01095</t>
  </si>
  <si>
    <t>60001</t>
  </si>
  <si>
    <t>60014</t>
  </si>
  <si>
    <t>630</t>
  </si>
  <si>
    <t>63003</t>
  </si>
  <si>
    <t>754</t>
  </si>
  <si>
    <t>75404</t>
  </si>
  <si>
    <t>75406</t>
  </si>
  <si>
    <t>75410</t>
  </si>
  <si>
    <t>851</t>
  </si>
  <si>
    <t>85153</t>
  </si>
  <si>
    <t>85154</t>
  </si>
  <si>
    <t>852</t>
  </si>
  <si>
    <t>85205</t>
  </si>
  <si>
    <t>85217</t>
  </si>
  <si>
    <t>853</t>
  </si>
  <si>
    <t>85311</t>
  </si>
  <si>
    <t>900</t>
  </si>
  <si>
    <t>90005</t>
  </si>
  <si>
    <t>92105</t>
  </si>
  <si>
    <t>92120</t>
  </si>
  <si>
    <t>926</t>
  </si>
  <si>
    <t>92605</t>
  </si>
  <si>
    <t>TRANSPORT I ŁĄCZNOŚĆ</t>
  </si>
  <si>
    <t>Wojewódzki Zespół Specjalistyczny w Rzeszowie</t>
  </si>
  <si>
    <t xml:space="preserve">SZCZEGÓŁOWY PODZIAŁ DOTACJI CELOWYCH Z BUDŻETU DLA JEDNOSTEK SEKTORA FINANSÓW PUBLICZNYCH </t>
  </si>
  <si>
    <t>Przeznaczenie dotacji</t>
  </si>
  <si>
    <t>Komenda Wojewódzka Policji 
w Rzeszowie</t>
  </si>
  <si>
    <t>Bieszczadzki Oddział Straży Granicznej w Przemyślu</t>
  </si>
  <si>
    <t>Komenda Wojewódzka Państwowej Staży Pożarnej w Rzeszowie</t>
  </si>
  <si>
    <t xml:space="preserve">Filharmonia Podkarpacka im. Artura Malawskiego w Rzeszowie </t>
  </si>
  <si>
    <t xml:space="preserve">Wojewódzki Dom Kultury w Rzeszowie </t>
  </si>
  <si>
    <t>Wojewódzka i Miejska Biblioteka Publiczna w Rzeszowie</t>
  </si>
  <si>
    <t>Muzeum Budownictwa Ludowego 
w Sanoku</t>
  </si>
  <si>
    <t xml:space="preserve"> PODZIAŁ  DOTACJI  CELOWYCH NA  ZADANIA  PUBLICZNE  ZLECONE DO  REALIZACJI  JEDNOSKOM SPOZA SEKTORA FINANSÓW PUBLICZNYCH ORAZ NA  CELE  PUBLICZNE ZWIĄZANE  Z  REALIZACJĄ  ZADAŃ SAMORZĄDU  WOJEWÓDZTWA</t>
  </si>
  <si>
    <t>na rekompensatę  z tytułu wykonywania kolejowych przewozów osób</t>
  </si>
  <si>
    <t>na zadania i cele publiczne z zakresu upowszechniania turystyki</t>
  </si>
  <si>
    <t xml:space="preserve">na zadania i cele publiczne z zakresu ratownictwa górskiego i wodnego </t>
  </si>
  <si>
    <t xml:space="preserve">na zadania i cele publiczne z zakresu kultury </t>
  </si>
  <si>
    <t>na zadania i cele z zakresu ochrony i konserwacji zabytków - szczegółowy podział dotacji zgodnie z zasadami udzielania dotacji dokonany zostanie odrębną uchwałą Sejmiku Województwa</t>
  </si>
  <si>
    <t xml:space="preserve">na zadania i cele publiczne z zakresu kultury fizycznej i sportu </t>
  </si>
  <si>
    <t>Wojewódzki Szpital Podkarpacki im. Jana Pawła II w Krośnie</t>
  </si>
  <si>
    <t xml:space="preserve">Wojewódzki Szpital im. Św. Ojca Pio w Przemyślu </t>
  </si>
  <si>
    <t xml:space="preserve">Wojewódzki Podkarpacki Szpital Psychiatryczny im. prof. Eugeniusza Brzezickiego w Żurawicy </t>
  </si>
  <si>
    <t xml:space="preserve">Drogi publiczne powiatowe </t>
  </si>
  <si>
    <t xml:space="preserve">Powiat Ropczycko -  Sędziszowski </t>
  </si>
  <si>
    <t>Powiat Rzeszowski</t>
  </si>
  <si>
    <t>855</t>
  </si>
  <si>
    <t>85504</t>
  </si>
  <si>
    <t>85510</t>
  </si>
  <si>
    <t>Kliniczny Szpital Wojewódzki Nr 1 im. Fryderyka Chopina w Rzeszowie</t>
  </si>
  <si>
    <t>Teatr im. W. Siemaszkowej 
w Rzeszowie</t>
  </si>
  <si>
    <t>RODZINA</t>
  </si>
  <si>
    <t>Działalność placówek opiekuńczo-wychowawczych</t>
  </si>
  <si>
    <t>na zadania z zakresu zapewnienia instytucjonalnej pieczy zastępczej (wsparcie prowadzenia regionalnych placówek opiekuńczo-terapeutycznych)</t>
  </si>
  <si>
    <t>Muzeum Polaków Ratujących Żydów podczas II wojny światowej im. Rodziny Ulmów w Markowej</t>
  </si>
  <si>
    <t>Muzeum - Zamek w Łańcucie</t>
  </si>
  <si>
    <t xml:space="preserve">Muzeum Okręgowe w Rzeszowie </t>
  </si>
  <si>
    <t>Muzeum Narodowe Ziemi Przemyskiej w Przemyślu</t>
  </si>
  <si>
    <t xml:space="preserve"> bieżące </t>
  </si>
  <si>
    <t>Ogółem</t>
  </si>
  <si>
    <t>na realizację zadania publicznego z zakresu edukacji ekologicznej dotyczącej szkodliwości spalania odpadów w piecach i kotłach domowych</t>
  </si>
  <si>
    <t>Wojewódzka Stacja Pogotowia Ratunkowego w Rzeszowie</t>
  </si>
  <si>
    <t>cd.</t>
  </si>
  <si>
    <t>na zadania i cele publiczne z zakresu przeciwdziałania narkomanii w ramach  "Wojewódzkiego Programu Przeciwdziałania Narkomanii"</t>
  </si>
  <si>
    <t>na zadania i cele publiczne z zakresu wychowywania w trzeźwości  i przeciwdziałania alkoholizmowi w ramach "Wojewódzkiego Programu Profilaktyki i Rozwiązywania Problemów Alkoholowych"</t>
  </si>
  <si>
    <t xml:space="preserve">na zadania i cele z zakresu przeciwdziałania przemocy w rodzinie w ramach "Wojewódzkiego Programu Przeciwdziałania Przemocy w Rodzinie" </t>
  </si>
  <si>
    <t xml:space="preserve">na zadania i cele z zakresu pomocy społecznej w ramach "Wojewódzkiego Programu Pomocy Społecznej" </t>
  </si>
  <si>
    <t xml:space="preserve">na zadania i cele z zakresu rehabilitacji zawodowej i społecznej oraz zatrudniania osób niepełnosprawnych w ramach "Wojewódzkiego Programu na Rzecz Wyrównywania Szans Osób Niepełnosprawnych i Przeciwdziałania ich Wykluczeniu Społecznemu" </t>
  </si>
  <si>
    <t xml:space="preserve">na zadania i cele z zakresu wspierania rodziny i systemu pieczy zastępczej w ramach "Wojewódzkiego Programu Wspierania Rodziny i Systemu Pieczy Zastępczej" </t>
  </si>
  <si>
    <t xml:space="preserve">Krajowe pasażerskie przewozy autobusowe </t>
  </si>
  <si>
    <t xml:space="preserve">w  tym :  </t>
  </si>
  <si>
    <t>Dopłaty do krajowych autobusowych przewozów pasażerskich z tytułu stosowania w tych przewozach ustawowych ulg</t>
  </si>
  <si>
    <t>60016</t>
  </si>
  <si>
    <t xml:space="preserve">Kliniczny Szpital Wojewódzki Nr 1 im. Fryderyka Chopina 
w Rzeszowie </t>
  </si>
  <si>
    <t>Specjalistyczny Psychiatryczny Zespół Opieki Zdrowotnej im A. Kępińskiego w Jarosławiu</t>
  </si>
  <si>
    <t>Wojewódzki Ośrodek Medycyny Pracy w Rzeszowie</t>
  </si>
  <si>
    <t>Zakład Aktywności Zawodowej w Rzeszowie (ul. Tarnowska 107)</t>
  </si>
  <si>
    <t xml:space="preserve">Muzeum Historyczne w Sanoku </t>
  </si>
  <si>
    <t xml:space="preserve">Zakład Aktywności Zawodowej Nr 1 w Krośnie </t>
  </si>
  <si>
    <t>Zakład Aktywności Zawodowej Nr 2 w Krośnie</t>
  </si>
  <si>
    <t>730</t>
  </si>
  <si>
    <t>73006</t>
  </si>
  <si>
    <t>na organizację wydarzeń popularyzujących naukę</t>
  </si>
  <si>
    <t>854</t>
  </si>
  <si>
    <t>85420</t>
  </si>
  <si>
    <t>92601</t>
  </si>
  <si>
    <t>KULTURA FIZYCZNA</t>
  </si>
  <si>
    <t>Gmina - Miasto Rzeszów</t>
  </si>
  <si>
    <t xml:space="preserve">"Budowa Podkarpackiego Centrum Lekkoatletycznego w Rzeszowie przy ul. Wyspiańskiego 22" </t>
  </si>
  <si>
    <t>925</t>
  </si>
  <si>
    <t>92595</t>
  </si>
  <si>
    <t xml:space="preserve">na realizację zadania publicznego z zakresu ochrony dziedzictwa przyrodniczego poprzez działania edukacyjne dotyczące ochrony walorów krajobrazowych województwa podkarpackiego w szczególności na obszarach chronionego krajobrazu </t>
  </si>
  <si>
    <t>Obiekty sportowe</t>
  </si>
  <si>
    <t>Drogi publiczne gminne</t>
  </si>
  <si>
    <t>Rozdz.</t>
  </si>
  <si>
    <t>Źródło pochodzenia</t>
  </si>
  <si>
    <t>Propozycje zmian</t>
  </si>
  <si>
    <t>% wzrostu planu (6/5)</t>
  </si>
  <si>
    <t>1.</t>
  </si>
  <si>
    <t>2.</t>
  </si>
  <si>
    <t>3.</t>
  </si>
  <si>
    <t>4.</t>
  </si>
  <si>
    <t>5.</t>
  </si>
  <si>
    <t>7.</t>
  </si>
  <si>
    <t>ROLNICTWO I ŁOWIECTWO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</si>
  <si>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</si>
  <si>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</si>
  <si>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</si>
  <si>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</si>
  <si>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0830</t>
  </si>
  <si>
    <t>0970</t>
  </si>
  <si>
    <t>b) dochody majątkowe</t>
  </si>
  <si>
    <t>01008</t>
  </si>
  <si>
    <t>Melioracje wodne</t>
  </si>
  <si>
    <t>0940</t>
  </si>
  <si>
    <t xml:space="preserve">Dotacje celowe otrzymane z budżetu państwa na zadania bieżące z zakresu administracji rządowej oraz inne zadania zlecone ustawami realizowane przez samorząd województwa </t>
  </si>
  <si>
    <t>5% dochodów uzyskiwanych na rzecz budżetu państwa w związku z realizacją zadań z zakresu administracji rządowej oraz innych zadań zleconych ustawami</t>
  </si>
  <si>
    <t>b) dochody majątkowe, w tym:</t>
  </si>
  <si>
    <t>01041</t>
  </si>
  <si>
    <t>Program Rozwoju Obszarów Wiejskich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</si>
  <si>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</si>
  <si>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</si>
  <si>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Wyłączenie z produkcji gruntów rolnych</t>
  </si>
  <si>
    <t>Wpływy z tytułu opłat za wyłączenie z produkcji gruntów rolnych</t>
  </si>
  <si>
    <t>0690</t>
  </si>
  <si>
    <t>01078</t>
  </si>
  <si>
    <t>Usuwanie skutków klęsk żywiołowych</t>
  </si>
  <si>
    <t>Pozostała działalność</t>
  </si>
  <si>
    <t>Dotacja otrzymana z Wojewódzkiego Funduszu Ochrony Środowiska i Gospodarki Wodnej w Rzeszowie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</si>
  <si>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</si>
  <si>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</si>
  <si>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</si>
  <si>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</si>
  <si>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</si>
  <si>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</si>
  <si>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100</t>
  </si>
  <si>
    <t>GÓRNICTWO I KOPALNICTWO</t>
  </si>
  <si>
    <t>10095</t>
  </si>
  <si>
    <t xml:space="preserve">b) dochody majątkowe </t>
  </si>
  <si>
    <t>150</t>
  </si>
  <si>
    <t>PRZETWÓRSTWO PRZEMYSŁOWE</t>
  </si>
  <si>
    <t>15011</t>
  </si>
  <si>
    <t>Rozwój przedsiębiorczości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</si>
  <si>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</si>
  <si>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 xml:space="preserve">Zwrot części niewykorzystanych dotacji przez beneficjentów projektów realizowanych w ramach Regionalnego Programu Operacyjnego Województwa Podkarpackiego na lata 2014-2020 </t>
  </si>
  <si>
    <t>Krajowe pasażerskie przewozy kolejowe</t>
  </si>
  <si>
    <t>Dzierżawa autobusów szynowych</t>
  </si>
  <si>
    <t>0750</t>
  </si>
  <si>
    <t>Zwrot podatku VAT od dostaw pojazdów szynowych</t>
  </si>
  <si>
    <t>2440</t>
  </si>
  <si>
    <t>Wpływy ze zwrotów niewykorzystanych dotacji oraz płatności</t>
  </si>
  <si>
    <t>2950</t>
  </si>
  <si>
    <t>Infrastruktura kolejowa</t>
  </si>
  <si>
    <t>Środki pochodzące z budżetu Unii Europejskiej na realizację zadania pn.: "Budowa Podmiejskiej Kolei Aglomeracyjnej - PKA": budowa zaplecza technicznego w ramach Programu Operacyjnego Infrastruktura i Środowisko na lata 2014 - 2020</t>
  </si>
  <si>
    <t>Krajowe pasażerskie przewozy autobusowe</t>
  </si>
  <si>
    <t>Lokalny transport zbiorowy</t>
  </si>
  <si>
    <t xml:space="preserve">Opłaty za wydawanie zezwoleń na regularny przewóz osób </t>
  </si>
  <si>
    <t>0620</t>
  </si>
  <si>
    <t>Drogi publiczne wojewódzkie</t>
  </si>
  <si>
    <t>Dochody realizowane przez Podkarpacki Zarząd Dróg Wojewódzkich w Rzeszowie</t>
  </si>
  <si>
    <t>Dotacja celowa z budżetu państwa z przeznaczeniem na dofinansowanie zadań z zakresu remontu, utrzymania i zarządzania drogami wojewódzkimi</t>
  </si>
  <si>
    <t>2230</t>
  </si>
  <si>
    <t xml:space="preserve">Środki pozyskane z nadleśnictw na dofinansowanie własnych zadań bieżących Samorządu Województwa </t>
  </si>
  <si>
    <t>2700</t>
  </si>
  <si>
    <t>Wpływ z tytułu pomocy finansowej udzielanej między jednostkami samorządu terytorialnego na dofinansowanie własnych zadań bieżących</t>
  </si>
  <si>
    <t>2710</t>
  </si>
  <si>
    <t>Środki pochodzące z budżetu Unii Europejskiej na realizację inwestycji drogowych w ramach Programu Operacyjnego Polska Wschodnia na lata 2014-2020</t>
  </si>
  <si>
    <t>Środki pochodzące z budżetu Unii Europejskiej na realizację projektów własnych w ramach Programu Współpracy Transgranicznej Polska - Białoruś - Ukraina 2014 - 2020</t>
  </si>
  <si>
    <t>Środki otrzymane do pozostałych jednostek zaliczanych do sektora finansów publicznych na finansowanie lub dofinansowanie kosztów realizacji inwestycji i zakupów inwestycyjnych jednostek zaliczanych do sektora finansów publicznych</t>
  </si>
  <si>
    <t>Dotacja celowa otrzymana z tytułu pomocy finansowej udzielanej między jednostkami samorządu terytorialnego na dofinansowanie własnych zadań inwestycyjnych i zakupów inwestycyjnych</t>
  </si>
  <si>
    <t>Dochody z tytułu opłat za wpis do rejestru przedsiębiorców prowadzących pracownię psychologiczną, za wpis do ewidencji uprawnionych psychologów, za wpis do ewidencji uprawnionych lekarzy, opłaty za wpis do ewidencji egzaminatorów wynikające z ustawy o kierujących pojazdami</t>
  </si>
  <si>
    <t>TURYSTYKA</t>
  </si>
  <si>
    <t>Zadania w zakresie upowszechniania turystyki</t>
  </si>
  <si>
    <t>Środki pochodzące z budżetu Unii Europejskiej jako refundacja wydatków poniesionych ze środków własnych na realizację projektu pn. "Góry bez granic - integracja sieci szlaków w transgraniczny produkt turystyczny" w ramach Programu Współpracy Transgranicznej INTERREG V-A Polska - Słowacja 2014-2020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</si>
  <si>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</si>
  <si>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</si>
  <si>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</si>
  <si>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</si>
  <si>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</si>
  <si>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</si>
  <si>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</si>
  <si>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tytułu przekształcenia prawa użytkowania wieczystego w prawo własności</t>
  </si>
  <si>
    <t>0760</t>
  </si>
  <si>
    <t>0770</t>
  </si>
  <si>
    <t>DZIAŁALNOŚĆ USŁUGOWA</t>
  </si>
  <si>
    <t>Biura planowania przestrzennego</t>
  </si>
  <si>
    <t xml:space="preserve">Dochody realizowane przez Podkarpackie Biuro Planowania Przestrzennego w Rzeszowie 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</si>
  <si>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</si>
  <si>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</si>
  <si>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</si>
  <si>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Dotacja celowa z budżetu państwa na realizację projektu pn.: "Podkarpacki System Informacji Przestrzennej (PSIP)" realizowanego w ramach Regionalnego Programu Operacyjnego Województwa Podkarpackiego na lata 2014 - 2020</t>
  </si>
  <si>
    <t>2059</t>
  </si>
  <si>
    <t>2210</t>
  </si>
  <si>
    <t>2917</t>
  </si>
  <si>
    <t>INFORMATYKA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</si>
  <si>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</si>
  <si>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 xml:space="preserve">Zwrot nadpłaconej diety w ramach realizacji projektu pn.: "Inteligentne specjalizacje - narzędzie wzrostu innowacyjności i konkurencyjności województwa podkarpackiego" w ramach Regionalnego Programu Operacyjnego Województwa Podkarpackiego na lata 2014-2020 </t>
  </si>
  <si>
    <t>0947</t>
  </si>
  <si>
    <t>Środki pochodzące z budżetu Unii Europejskiej jako refundacja wydatków poniesionych ze środków własnych na realizację projektu pn. Zachowanie i promocja dziedzictwa przyrodniczego i kulturowego poprzez Zielone Szlaki" w ramach Programu INTERREG EUROPA 2014-2020</t>
  </si>
  <si>
    <t>2058</t>
  </si>
  <si>
    <t>Środki pochodzące z budżetu Unii Europejskiej jako refundacja wydatków poniesionych ze środków własnych na realizację projektu pn. "Żywe laboratorium polityki publicznej" w ramach Programu INTERREG EUROPA 2014-2020</t>
  </si>
  <si>
    <t>Urzędy wojewódzkie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</si>
  <si>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</si>
  <si>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</si>
  <si>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Dochody realizowane przez Urząd Marszałkowski Województwa Podkarpackiego</t>
  </si>
  <si>
    <t xml:space="preserve">Dotacje celowe otrzymane z budżetu państwa na realizację bieżących zadań własnych samorządu województwa </t>
  </si>
  <si>
    <t>Komisje egzaminacyjne</t>
  </si>
  <si>
    <t>Środki pochodzące z budżetu Unii Europejskiej jako refundacja wydatków poniesionych ze środków własnych na realizację projektu pn. "Szlak Maryjny (Światło ze Wschodu)" w ramach Programu Współpracy Transgranicznej INTERREG V-A Polska - Słowacja 2014-2020</t>
  </si>
  <si>
    <t>Środki pochodzące z budżetu Unii Europejskiej jako refundacja wydatków poniesionych ze środków własnych na realizację projektu pn. "Szlak Kultury Wołoskiej" w ramach Programu Współpracy Transgranicznej INTERREG V-A Polska - Słowacja 2014-2020</t>
  </si>
  <si>
    <t>Środki pochodzące z budżetu Unii Europejskiej jako refundacja wydatków poniesionych ze środków własnych na realizację projektu pn. "Szlakiem obiektów UNESCO na pograniczu polsko - słowackim" w ramach Programu Współpracy Transgranicznej INTERREG V-A Polska - Słowacja 2014-2020</t>
  </si>
  <si>
    <t>Dotacja celowa z budżetu państwa jako refundacja wydatków poniesionych ze środków własnych na realizację projektu pn. "Szlakiem obiektów UNESCO na pograniczu polsko - słowackim" w ramach Programu Współpracy Transgranicznej INTERREG V-A Polska - Słowacja 2014-2020</t>
  </si>
  <si>
    <t>Dotacja celowa z budżetu państwa jako refundacja wydatków poniesionych ze środków własnych na realizację projektu pn. "W sercu Karpat - granica, która łączy" w ramach Programu Współpracy Transgranicznej INTERREG V-A Polska - Słowacja 2014-2020</t>
  </si>
  <si>
    <t>Pomoc zagraniczna</t>
  </si>
  <si>
    <t>Dotacje celowe otrzymane z budżetu państwa na zadania bieżące realizowane przez samorząd województwa na podstawie porozumień z organami administracji rządowej</t>
  </si>
  <si>
    <t>Dotacje celowe otrzymane z budżetu państwa na inwestycje i zakupy inwestycyjne realizowane przez samorząd województwa na podstawie porozumień z organami administracji rządowej</t>
  </si>
  <si>
    <t>Funkcjonowanie wojewódzkich rad dialogu społecznego</t>
  </si>
  <si>
    <t>Środki pochodzące z budżetu Unii Europejskiej na realizację projektu pn. „Punkty Informacyjne Funduszy Europejskich” w ramach Programu Operacyjnego Pomoc Techniczna na lata 2014-2020</t>
  </si>
  <si>
    <t>Środki pochodzące z budżetu Unii Europejskiej na realizację projektu pn.: "Kondycja społeczno - gospodarcza rodzin z uwzględnieniem zjawiska depopulacji" w ramach Programu Operacyjnego Pomoc Techniczna na lata 2014-2020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</si>
  <si>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</si>
  <si>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pn.: "Kondycja społeczno - gospodarcza rodzin z uwzględnieniem zjawiska depopulacji" w ramach Programu Operacyjnego Pomoc Techniczna na lata 2014-2020</t>
  </si>
  <si>
    <t>Środki pochodzące z budżetu Unii Europejskiej jako refundacja wydatków poniesionych ze środków własnych na realizację projektu pn. "Partnerstwo dla wspólnego rozwoju" w ramach Pomocy Technicznej Programu Współpracy Transgranicznej INTERREG V-A Polska - Słowacja 2014-2020</t>
  </si>
  <si>
    <t>Środki pochodzące z budżetu Unii Europejskiej na realizację projektu pn.: "Funkcjonowanie Oddziału Programu Współpracy Transgranicznej EIS Polska - Białoruś - Ukraina 2014-2020 w Rzeszowie" w ramach Programu Współpracy Transgranicznej Polska - Białoruś - Ukraina 2014-2020</t>
  </si>
  <si>
    <t>Dotacja celowa z budżetu państwa jako refundacja wydatków poniesionych ze środków własnych na realizację projektu pn. "Partnerstwo dla wspólnego rozwoju" w ramach Pomocy Technicznej Programu Współpracy Transgranicznej INTERREG V-A Polska - Słowacja 2014-2020</t>
  </si>
  <si>
    <t>OBRONA NARODOWA</t>
  </si>
  <si>
    <t>Pozostałe wydatki obronne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</si>
  <si>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</si>
  <si>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</si>
  <si>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</si>
  <si>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</si>
  <si>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zezwolenia na hurtową sprzedaż alkoholu</t>
  </si>
  <si>
    <t>0480</t>
  </si>
  <si>
    <t>Opłaty koncesyjne za poszukiwanie lub rozpoznawanie złóż węglowodorów oraz za wydobywanie węglowodorów ze złóż na terenie województwa podkarpackiego</t>
  </si>
  <si>
    <t>0590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</si>
  <si>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</si>
  <si>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</si>
  <si>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</si>
  <si>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</si>
  <si>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</si>
  <si>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</si>
  <si>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</si>
  <si>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</si>
  <si>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</si>
  <si>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</si>
  <si>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Środki na inwestycje na drogach publicznych powiatowych i wojewódzkich oraz na drogach powiatowych, wojewódzkich i krajowych w granicach miast na prawach powiatu</t>
  </si>
  <si>
    <t>Część wyrównawcza subwencji ogólnej dla województw</t>
  </si>
  <si>
    <t>Różne rozliczenia finansowe</t>
  </si>
  <si>
    <t>Odsetki od środków na rachunkach bankowych oraz lokat terminowych</t>
  </si>
  <si>
    <t>0920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</si>
  <si>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</si>
  <si>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</si>
  <si>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</si>
  <si>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</si>
  <si>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Dotacja celowa z budżetu państwa na współfinansowanie projektów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</si>
  <si>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</si>
  <si>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realizowanych w ramach  Regionalnego Programu Operacyjnego Województwa Podkarpackiego na lata 2014 - 2020</t>
  </si>
  <si>
    <t>Dotacja celowa z budżetu państwa jako refundacja wydatków poniesionych ze środków własnych na współfinansowanie projektów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</si>
  <si>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</si>
  <si>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Regionalne Programy Operacyjne 2014 - 2020 finansowane 
z udziałem środków Europejskiego Funduszu Społecznego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</si>
  <si>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</si>
  <si>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</si>
  <si>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własnych 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</si>
  <si>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</si>
  <si>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OŚWIATA I WYCHOWANIE</t>
  </si>
  <si>
    <t>Szkoły podstawowe specjalne</t>
  </si>
  <si>
    <t>Dochody realizowane przez jednostki oświatowe</t>
  </si>
  <si>
    <t>Szkoły policealne</t>
  </si>
  <si>
    <t>Szkoły zawodowe</t>
  </si>
  <si>
    <t>Dokształcanie i doskonalenie nauczycieli</t>
  </si>
  <si>
    <t>Środki pochodzące z budżetu Unii Europejskiej na realizację projektu pn.: "Razem odkryjmy świat programowania - szkolenia dla nauczycieli i uczniów z podregionu rzeszowskiego" w ramach Programu Operacyjnego Polska Cyfrowa na lata 2014 - 2020</t>
  </si>
  <si>
    <t>2057</t>
  </si>
  <si>
    <t>Środki pochodzące z budżetu Unii Europejskiej na realizację projektu pn.: "Razem odkryjmy świat programowania - szkolenia dla nauczycieli i uczniów z podregionu przemyskiego" w ramach Programu Operacyjnego Polska Cyfrowa na lata 2014 - 2020</t>
  </si>
  <si>
    <t>Środki pochodzące z budżetu Unii Europejskiej na realizację projektu pn.: "Razem odkryjmy świat programowania - szkolenia dla nauczycieli i uczniów z podregionu krośnieńskiego" w ramach Programu Operacyjnego Polska Cyfrowa na lata 2014 - 2020</t>
  </si>
  <si>
    <t>Dotacja celowa z budżetu państwa na realizację projektu pn.: "Razem odkryjmy świat programowania - szkolenia dla nauczycieli i uczniów z podregionu rzeszowskiego" w ramach Programu Operacyjnego Polska Cyfrowa na lata 2014 - 2020</t>
  </si>
  <si>
    <t>Dotacja celowa z budżetu państwa na realizację projektu pn.: "Razem odkryjmy świat programowania - szkolenia dla nauczycieli i uczniów z podregionu krośnieńskiego" w ramach Programu Operacyjnego Polska Cyfrowa na lata 2014 - 2020</t>
  </si>
  <si>
    <t>Biblioteki pedagogiczne</t>
  </si>
  <si>
    <t xml:space="preserve">Dochody realizowane przez jednostki oświatowe </t>
  </si>
  <si>
    <t xml:space="preserve">Środki pochodzące z budżetu Unii Europejskiej na realizację projektu pn. " Rozwijanie profesjonalizmu" w ramach Programu ERASMUS+ </t>
  </si>
  <si>
    <t>2001</t>
  </si>
  <si>
    <t>2051</t>
  </si>
  <si>
    <t>2919</t>
  </si>
  <si>
    <t>2959</t>
  </si>
  <si>
    <t>6699</t>
  </si>
  <si>
    <t>SZKOLNICTWO WYŻSZE</t>
  </si>
  <si>
    <t>Pomoc materialna dla studentów i doktorantów</t>
  </si>
  <si>
    <t>Odsetki od zwrotów stypendiów udzielonych w ramach projektu pn. "Podkarpacki fundusz stypendialny dla doktorantów" w ramach Programu Operacyjnego Kapitał Ludzki</t>
  </si>
  <si>
    <t>0929</t>
  </si>
  <si>
    <t>OCHRONA ZDROWIA</t>
  </si>
  <si>
    <t>Szpitale ogólne</t>
  </si>
  <si>
    <t>a) dochody bieżące</t>
  </si>
  <si>
    <t>Dotacje celowe otrzymane z budżetu państwa na realizację inwestycji i zakupów inwestycyjnych własnych samorządu województwa</t>
  </si>
  <si>
    <t>Ratownictwo medyczne</t>
  </si>
  <si>
    <t>Dotacje celowe otrzymane z budżetu państwa na inwestycje i zakupy inwestycyjne z zakresu administracji rządowej oraz inne zadania zlecone ustawami realizowane przez samorząd województwa</t>
  </si>
  <si>
    <t>Lecznictwo psychiatryczne</t>
  </si>
  <si>
    <t>Składki na ubezpieczenie zdrowotne oraz świadczenia dla osób nieobjętych obowiązkiem ubezpieczenia zdrowotnego</t>
  </si>
  <si>
    <t>POMOC SPOŁECZNA</t>
  </si>
  <si>
    <t>Zadania w zakresie przeciwdziałania przemocy w rodzinie</t>
  </si>
  <si>
    <t>Dotacje celowe otrzymane z budżetu państwa na realizację bieżących zadań własnych samorządu województwa</t>
  </si>
  <si>
    <t>Regionalne ośrodki polityki społecznej</t>
  </si>
  <si>
    <t>Dochody realizowane przez Regionalny Ośrodek Polityki Społecznej w Rzeszowie</t>
  </si>
  <si>
    <t>Środki pochodzące z budżetu Unii Europejskiej na realizację projektu pn. "Liderzy kooperacji" w ramach Programu Operacyjnego Wiedza Edukacja Rozwój 2014-2020</t>
  </si>
  <si>
    <t>Dotacja celowa z budżetu państwa na realizację projektu pn. "Liderzy kooperacji" w ramach Programu Operacyjnego Wiedza Edukacja Rozwój 2014-2020</t>
  </si>
  <si>
    <t>Środki pochodzące z budżetu Unii Europejskiej jako refundacja wydatków poniesionych ze środków własnych na realizację projektu pn. "CE 985 SENTINEL - rozwój i umacnianie pozycji przedsiębiorstw społecznych w celu maksymalnego zwiększenia ich wpływu na sektor ekonomiczny i społeczny w państwach Europy Środkowej" w ramach programu Interreg Europa Środkowa na lata 2014 - 2020</t>
  </si>
  <si>
    <t>Zwrot części niewykorzystanych dotacji przez beneficjentów projektów realizowanych w ramach Regionalnego Programu Operacyjnego Województwa Podkarpackiego na lata 2014-2020</t>
  </si>
  <si>
    <t>POZOSTAŁE ZADANIA W ZAKRESIE POLITYKI SPOŁECZNEJ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</si>
  <si>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</si>
  <si>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</si>
  <si>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</si>
  <si>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Dotacja celowa z budżetu państwa na współfinansowanie projektów w ramach Programu Operacyjnego Wiedza, Edukacja, Rozwój 2014 - 2020</t>
  </si>
  <si>
    <t>2009</t>
  </si>
  <si>
    <t>Dotacja celowa z budżetu państwa na finansowanie wydatków objętych Pomocą Techniczną Programu Operacyjnego Wiedza, Edukacja, Rozwój 2014 - 2020</t>
  </si>
  <si>
    <t>Środki pochodzące z budżetu Unii Europejskiej na realizację projektu pn.: „Standardy w zakresie mieszkalnictwa wspomaganego dla osób chorujących psychicznie po wielokrotnych pobytach w szpitalach psychiatrycznych" w ramach Programu Operacyjnego Wiedza, Edukacja, Rozwój 2014-2020</t>
  </si>
  <si>
    <t>Zwrot części dotacji wykorzystanych niezgodnie z przeznaczeniem, pobranych nienależnie lub w nadmiernej wysokości przez beneficjentów projektów realizowanych w ramach Programu Operacyjnego Kapitał Ludzki</t>
  </si>
  <si>
    <t>Zwrot części niewykorzystanych dotacji przez beneficjentów projektów realizowanych w ramach Programu Operacyjnego Wiedza, Edukacja, Rozwój na lata 2014 - 2020</t>
  </si>
  <si>
    <t>Wspieranie rodziny</t>
  </si>
  <si>
    <t>Środki pochodzące z budżetu Unii Europejskiej na realizację projektu pn. „Bliżej rodziny - szkolenia dla kadr systemów wspierania rodziny i pieczy zastępczej” w ramach Programu Operacyjnego Wiedza Edukacja Rozwój na lata 2014-2020</t>
  </si>
  <si>
    <t>2007</t>
  </si>
  <si>
    <t>Dotacja celowa z budżetu państwa na realizację projektu pn.:  „Bliżej rodziny - szkolenia dla kadr systemów wspierania rodziny i pieczy zastępczej” w ramach Programu Operacyjnego Wiedza Edukacja Rozwój na lata 2014-2020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</si>
  <si>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</si>
  <si>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</si>
  <si>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</si>
  <si>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</si>
  <si>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Wpływy ze zwrotów dotacji oraz płatności wykorzystanych niezgodnie z przeznaczeniem lub wykorzystanych z naruszeniem procedur, o których mowa w art. 184 ustawy, pobranych nienależnie lub w nadmiernej wysokości</t>
  </si>
  <si>
    <t>2910</t>
  </si>
  <si>
    <t>GOSPODARKA KOMUNALNA I OCHRONA ŚRODOWISKA</t>
  </si>
  <si>
    <t>35,65% wpływu z opłaty rejestrowej i opłaty rocznej od podmiotów wprowadzających produkty, produkty w opakowaniach i gospodarujących odpadami</t>
  </si>
  <si>
    <t>Ochrona powietrza atmosferycznego i klimatu</t>
  </si>
  <si>
    <t>2460</t>
  </si>
  <si>
    <t>Zmniejszenie hałasu i wibracji</t>
  </si>
  <si>
    <t>Wpływy i wydatki związane z gromadzeniem środków z opłat i kar za korzystanie ze środowiska</t>
  </si>
  <si>
    <t xml:space="preserve">3% wpływu z tytułu opłat za korzystanie ze środowiska </t>
  </si>
  <si>
    <t>Wpływy i wydatki związane z gromadzeniem środków z opłat produktowych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</si>
  <si>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</si>
  <si>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</si>
  <si>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</si>
  <si>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</si>
  <si>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 xml:space="preserve">10% wpływu z tytułu opłaty produktowej oraz dodatkowej opłaty produktowej </t>
  </si>
  <si>
    <t xml:space="preserve">Wpływy i wydatki związane z wprowadzeniem do obrotu baterii i akumulatorów </t>
  </si>
  <si>
    <t>5% wpływu z tytułu opłat za wprowadzanie do obrotu baterii i akumulatorów</t>
  </si>
  <si>
    <t>Teatry</t>
  </si>
  <si>
    <t>Wpływy z tytułu pomocy finansowej udzielanej między jednostkami samorządu terytorialnego na dofinansowanie własnych zadań bieżących</t>
  </si>
  <si>
    <t>Filharmonie, orkiestry, chóry i kapele</t>
  </si>
  <si>
    <t>Domy i ośrodki kultury, świetlice i kluby</t>
  </si>
  <si>
    <t>Zwrot części niewykorzystanych dotacji na realizację zadań z zakresu kultury</t>
  </si>
  <si>
    <t>6690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</si>
  <si>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</si>
  <si>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</si>
  <si>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</si>
  <si>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Muzea</t>
  </si>
  <si>
    <t>Środki pochodzące z budżetu Unii Europejskiej jako refundacja wydatków poniesionych ze środków własnych na realizację projektu pn.: "CRinMA- Cultural Resources in the Mountain Area" w ramach Programu Interreg Europa na lata 2014 - 2020</t>
  </si>
  <si>
    <t>OGRODY BOTANICZNE I ZOOLOGICZNE ORAZ NATURALNE OBSZARY I OBIEKTY CHRONIONEJ PRZYRODY</t>
  </si>
  <si>
    <t>Parki krajobrazowe</t>
  </si>
  <si>
    <t>Dochody realizowane przez Zespół Karpackich Parków Krajobrazowych w Krośnie</t>
  </si>
  <si>
    <t>dochody bieżące</t>
  </si>
  <si>
    <t>dochody majątkowe</t>
  </si>
  <si>
    <t>Wyszczególnienie</t>
  </si>
  <si>
    <t>% zmiana planu (6:5)</t>
  </si>
  <si>
    <t>Rolnictwo i łowiectwo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</si>
  <si>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</si>
  <si>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</si>
  <si>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</si>
  <si>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</si>
  <si>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</si>
  <si>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</si>
  <si>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</si>
  <si>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</si>
  <si>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</si>
  <si>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</si>
  <si>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</si>
  <si>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</t>
  </si>
  <si>
    <t>4170</t>
  </si>
  <si>
    <t>Wynagrodzenia bezosobowe</t>
  </si>
  <si>
    <t xml:space="preserve"> - wydatki związane z realizacją zadań statutowych jednostek budżetowych</t>
  </si>
  <si>
    <t>4140</t>
  </si>
  <si>
    <t>Wpłaty na Państwowy Fundusz Rehabilitacji Osób Niepełnosprawnych</t>
  </si>
  <si>
    <t>4210</t>
  </si>
  <si>
    <t>Zakup materiałów i wyposażenia</t>
  </si>
  <si>
    <t>4220</t>
  </si>
  <si>
    <t>Zakup środków żywności</t>
  </si>
  <si>
    <t>4260</t>
  </si>
  <si>
    <t>Zakup energii</t>
  </si>
  <si>
    <t>4270</t>
  </si>
  <si>
    <t>Zakup usług remontowych</t>
  </si>
  <si>
    <t>4280</t>
  </si>
  <si>
    <t>Zakup usług zdrowotnych</t>
  </si>
  <si>
    <t>4300</t>
  </si>
  <si>
    <t>Zakup usług pozostałych</t>
  </si>
  <si>
    <t>4360</t>
  </si>
  <si>
    <t>Opłaty z tytułu zakupu usług telekomunikacyjnych</t>
  </si>
  <si>
    <t>4390</t>
  </si>
  <si>
    <t>Zakup usług obejmujących wykonanie ekspertyz, analiz i opinii</t>
  </si>
  <si>
    <t>4400</t>
  </si>
  <si>
    <t>Opłaty za administrowanie i czynsze za budynki, lokale i pomieszczenia garażowe</t>
  </si>
  <si>
    <t>4410</t>
  </si>
  <si>
    <t>Podróże służbowe krajowe</t>
  </si>
  <si>
    <t>4430</t>
  </si>
  <si>
    <t>Różne opłaty i składki</t>
  </si>
  <si>
    <t>4440</t>
  </si>
  <si>
    <t>Odpisy na zakładowy fundusz świadczeń socjalnych</t>
  </si>
  <si>
    <t>4480</t>
  </si>
  <si>
    <t>Podatek od nieruchomości</t>
  </si>
  <si>
    <t>4510</t>
  </si>
  <si>
    <t>Opłaty na rzecz budżetu państwa</t>
  </si>
  <si>
    <t>4520</t>
  </si>
  <si>
    <t>Opłaty na rzecz budżetów jednostek samorządu terytorialnego</t>
  </si>
  <si>
    <t>4530</t>
  </si>
  <si>
    <t>Podatek od towarów i usług (VAT)</t>
  </si>
  <si>
    <t>4700</t>
  </si>
  <si>
    <t xml:space="preserve">Szkolenia pracowników niebędących członkami korpusu służby cywilnej </t>
  </si>
  <si>
    <t>świadczenia na rzecz osób fizycznych:</t>
  </si>
  <si>
    <t>3020</t>
  </si>
  <si>
    <t>Wydatki osobowe niezaliczone do wynagrodzeń</t>
  </si>
  <si>
    <t>wydatki majątkowe:</t>
  </si>
  <si>
    <t>inwestycje i zakupy inwestycyjne</t>
  </si>
  <si>
    <t>6060</t>
  </si>
  <si>
    <t>Wydatki inwestycyjne jednostek budżetowych</t>
  </si>
  <si>
    <t>01006</t>
  </si>
  <si>
    <t>Zarządy melioracji i urządzeń wodnych</t>
  </si>
  <si>
    <t>4500</t>
  </si>
  <si>
    <t>Pozostałe podatki na rzecz budżetów jednostek samorządu terytorialnego</t>
  </si>
  <si>
    <t>6050</t>
  </si>
  <si>
    <t>6660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</si>
  <si>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</si>
  <si>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- wydatki na programy finansowane z udziałem środków UE i źródeł zagranicznych</t>
  </si>
  <si>
    <t xml:space="preserve">Program Rozwoju Obszarów Wiejskich </t>
  </si>
  <si>
    <t>wydatki na programy finansowane z udziałem środków UE i źródeł zagranicznych</t>
  </si>
  <si>
    <t>2008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</si>
  <si>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</si>
  <si>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</si>
  <si>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</si>
  <si>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</si>
  <si>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</si>
  <si>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</si>
  <si>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</si>
  <si>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</si>
  <si>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</si>
  <si>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</si>
  <si>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</si>
  <si>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</si>
  <si>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</si>
  <si>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</si>
  <si>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</si>
  <si>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</si>
  <si>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</si>
  <si>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</si>
  <si>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</si>
  <si>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</si>
  <si>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</si>
  <si>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4398</t>
  </si>
  <si>
    <t>4399</t>
  </si>
  <si>
    <t>4418</t>
  </si>
  <si>
    <t>4419</t>
  </si>
  <si>
    <t>4438</t>
  </si>
  <si>
    <t>4439</t>
  </si>
  <si>
    <t>4708</t>
  </si>
  <si>
    <t>4709</t>
  </si>
  <si>
    <t>dotacje na zadania bieżące:</t>
  </si>
  <si>
    <t>2310</t>
  </si>
  <si>
    <t>Dotacje celowe przekazane gminie na zadania bieżące realizowane na podstawie porozumień (umów) między jednostkami samorządu terytorialnego</t>
  </si>
  <si>
    <t>Dotacje celowe przekazane dla powiatu na zadania bieżące realizowane na podstawie porozumień (umów) między jednostkami samorządu terytorialnego</t>
  </si>
  <si>
    <t>Wydatki na zakupy inwestycyjne jednostek budżetowych</t>
  </si>
  <si>
    <t>6610</t>
  </si>
  <si>
    <t>Dotacje celowe przekazane gminie na inwestycje i zakupy inwestycyjne realizowane na podstawie porozumień (umów) między jednostkami samorządu terytorialnego</t>
  </si>
  <si>
    <t>6620</t>
  </si>
  <si>
    <t>Dotacje celowe przekazane dla powiatu na inwestycje i zakupy inwestycyjne realizowane na podstawie porozumień (umów) między jednostkami samorządu terytorialnego</t>
  </si>
  <si>
    <t>Zwrot dotacji oraz płatności, w tym wykorzystanych niezgodnie z przeznaczeniem lub wykorzystanych z naruszeniem procedur, o których mowa w art.. 184 ustawy, pobranych nienależnie lub w nadmiernej wysokości, dotyczące wydatków majątkowych</t>
  </si>
  <si>
    <t>4190</t>
  </si>
  <si>
    <t>4590</t>
  </si>
  <si>
    <t>Kary i odszkodowania wypłacane na rzecz osób fizycznych</t>
  </si>
  <si>
    <t>4610</t>
  </si>
  <si>
    <t>Koszty postępowania sądowego i prokuratorskiego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</si>
  <si>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</si>
  <si>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</si>
  <si>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</si>
  <si>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 oraz Program Operacyjny Rybactwo i Morze 2014-2020</t>
  </si>
  <si>
    <t>2918</t>
  </si>
  <si>
    <t xml:space="preserve">Zwrot dotacji oraz płatności wykorzystanych niezgodnie z przeznaczeniem lub wykorzystanych z naruszeniem procedur, o których mowa w art.. 184 ustawy, pobranych nienależnie lub w nadmiernej wysokości </t>
  </si>
  <si>
    <t>Zakup usług obejmujących wykonywanie ekspertyz, analiz i opinii</t>
  </si>
  <si>
    <t>4569</t>
  </si>
  <si>
    <t>Odsetki od dotacji oraz płatności: wykorzystanych niezgodnie z przeznaczeniem lub wykorzystanych z naruszeniem procedur, o których mowa w art. 184 ustawy, pobranych nienależnie lub w nadmiernej wysokości</t>
  </si>
  <si>
    <t>Przetwórstwo przemysłowe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</si>
  <si>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</si>
  <si>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Zwroty dotacji oraz płatności wykorzystanych niezgodnie z przeznaczeniem lub wykorzystanych z naruszeniem procedur, o których mowa w art. 184 ustawy, pobranych nienależnie lub w nadmiernej wysokości</t>
  </si>
  <si>
    <t>Zwrot niewykorzystanych dotacji oraz płatności</t>
  </si>
  <si>
    <t>2957</t>
  </si>
  <si>
    <t>4017</t>
  </si>
  <si>
    <t>4047</t>
  </si>
  <si>
    <t>4117</t>
  </si>
  <si>
    <t>4127</t>
  </si>
  <si>
    <t>4217</t>
  </si>
  <si>
    <t>4307</t>
  </si>
  <si>
    <t>4417</t>
  </si>
  <si>
    <t>4707</t>
  </si>
  <si>
    <t>6067</t>
  </si>
  <si>
    <t>6207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</si>
  <si>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</si>
  <si>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6209</t>
  </si>
  <si>
    <t>6259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</si>
  <si>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</si>
  <si>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Rozwój kadr nowoczesnej gospodarki i przedsiębiorczości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</si>
  <si>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</si>
  <si>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6697</t>
  </si>
  <si>
    <t>500</t>
  </si>
  <si>
    <t>Handel</t>
  </si>
  <si>
    <t>50005</t>
  </si>
  <si>
    <t>Promocja eksportu</t>
  </si>
  <si>
    <t>Transport i łączność</t>
  </si>
  <si>
    <t>4570</t>
  </si>
  <si>
    <t>Odsetki od nieterminowych wpłat z tytułu pozostałych podatków i opłat</t>
  </si>
  <si>
    <t>Dotacja celowa na pomoc finansową udzielaną między jednostkami samorządu terytorialnego na dofinansowanie własnych zadań bieżących</t>
  </si>
  <si>
    <t>2830</t>
  </si>
  <si>
    <t>Dotacja celowa z budżetu na finansowanie lub dofinansowanie zadań zleconych do realizacji pozostałym jednostkom niezaliczanym do sektora finansów publicznych</t>
  </si>
  <si>
    <t>6069</t>
  </si>
  <si>
    <t>60002</t>
  </si>
  <si>
    <t>6057</t>
  </si>
  <si>
    <t>6059</t>
  </si>
  <si>
    <t xml:space="preserve">Dotacja przedmiotowa z budżetu dla jednostek niezaliczanych do sektora finansów publicznych </t>
  </si>
  <si>
    <t>60004</t>
  </si>
  <si>
    <t>60013</t>
  </si>
  <si>
    <t>4420</t>
  </si>
  <si>
    <t>Podróże służbowe zagraniczne</t>
  </si>
  <si>
    <t>4580</t>
  </si>
  <si>
    <t>Pozostałe odsetki</t>
  </si>
  <si>
    <t>4600</t>
  </si>
  <si>
    <t>Kary, odszkodowania i grzywny wypłacane na rzecz osób prawnych i innych jednostek organizacyjnych</t>
  </si>
  <si>
    <t xml:space="preserve"> inwestycje i zakupy inwestycyjne</t>
  </si>
  <si>
    <t>6058</t>
  </si>
  <si>
    <t>6068</t>
  </si>
  <si>
    <t>Drogi publiczne powiatowe</t>
  </si>
  <si>
    <t>Wydatki majątkowe:</t>
  </si>
  <si>
    <t xml:space="preserve"> - inwestycyjne i zakupy inwestycyjne</t>
  </si>
  <si>
    <t>6300</t>
  </si>
  <si>
    <t>Dotacja celowa na pomoc finansową  udzielaną między jednostkami samorządu terytorialnego na dofinansowanie własnych zadań inwestycyjnych i zakupów inwestycyjnych</t>
  </si>
  <si>
    <t>60078</t>
  </si>
  <si>
    <t>60095</t>
  </si>
  <si>
    <t>Turystyka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</si>
  <si>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</si>
  <si>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4389</t>
  </si>
  <si>
    <t>Zakup usług obejmujących tłumaczenia</t>
  </si>
  <si>
    <t>4428</t>
  </si>
  <si>
    <t>4429</t>
  </si>
  <si>
    <t>63095</t>
  </si>
  <si>
    <t>Dotacje celowe przekazane do samorządu województwa na zadania bieżące realizowane na podstawie porozumień (umów) między jednostkami samorządu terytorialnego</t>
  </si>
  <si>
    <t>700</t>
  </si>
  <si>
    <t>Gospodarka mieszkaniowa</t>
  </si>
  <si>
    <t>70005</t>
  </si>
  <si>
    <t xml:space="preserve">Dotacja celowa na pomoc finansową udzielaną między jednostkami samorządu terytorialnego na dofinansowanie własnych zadań bieżących </t>
  </si>
  <si>
    <t>70095</t>
  </si>
  <si>
    <t>710</t>
  </si>
  <si>
    <t>Działalność usługowa</t>
  </si>
  <si>
    <t>71003</t>
  </si>
  <si>
    <t>Zakup środków żywnościowych</t>
  </si>
  <si>
    <t>4240</t>
  </si>
  <si>
    <t>Zakup środków dydaktycznych i książek</t>
  </si>
  <si>
    <t>71012</t>
  </si>
  <si>
    <t>Opłata z tytułu zakupu usług telekomunikacyjnych</t>
  </si>
  <si>
    <t>720</t>
  </si>
  <si>
    <t>Informatyka</t>
  </si>
  <si>
    <t>72095</t>
  </si>
  <si>
    <t>6257</t>
  </si>
  <si>
    <t>Działalność upowszechniająca naukę</t>
  </si>
  <si>
    <t>73095</t>
  </si>
  <si>
    <t>4177</t>
  </si>
  <si>
    <t>4387</t>
  </si>
  <si>
    <t>4388</t>
  </si>
  <si>
    <t>4397</t>
  </si>
  <si>
    <t>4427</t>
  </si>
  <si>
    <t>Administracja publiczna</t>
  </si>
  <si>
    <t>75011</t>
  </si>
  <si>
    <t>75017</t>
  </si>
  <si>
    <t>Samorządowe sejmiki województw</t>
  </si>
  <si>
    <t>3030</t>
  </si>
  <si>
    <t xml:space="preserve">Różne wydatki na rzecz osób fizycznych </t>
  </si>
  <si>
    <t>75018</t>
  </si>
  <si>
    <t>wydatki bieżące</t>
  </si>
  <si>
    <t>4380</t>
  </si>
  <si>
    <t>3028</t>
  </si>
  <si>
    <t>3029</t>
  </si>
  <si>
    <t>3038</t>
  </si>
  <si>
    <t>Różne wydatki na rzecz osób fizycznych</t>
  </si>
  <si>
    <t>3039</t>
  </si>
  <si>
    <t>4268</t>
  </si>
  <si>
    <t>4269</t>
  </si>
  <si>
    <t>4288</t>
  </si>
  <si>
    <t>4289</t>
  </si>
  <si>
    <t>4368</t>
  </si>
  <si>
    <t>Opłaty z tytułu zakupu usług telekomunikacyjnych świadczonych w ruchomej publicznej sieci telefonicznej</t>
  </si>
  <si>
    <t>4408</t>
  </si>
  <si>
    <t>4409</t>
  </si>
  <si>
    <t>4528</t>
  </si>
  <si>
    <t>4529</t>
  </si>
  <si>
    <t>4618</t>
  </si>
  <si>
    <t>4619</t>
  </si>
  <si>
    <t>75046</t>
  </si>
  <si>
    <t>Szkolenia pracowników niebędących członkami korpusu służby cywilnej</t>
  </si>
  <si>
    <t>Zwroty niewykorzystanych dotacji oraz płatności, dotyczące wydatków majątkowych</t>
  </si>
  <si>
    <t>75079</t>
  </si>
  <si>
    <t>4470</t>
  </si>
  <si>
    <t>Cła</t>
  </si>
  <si>
    <t>75084</t>
  </si>
  <si>
    <t>świadczenia na rzecz osób fizycznych</t>
  </si>
  <si>
    <t>75095</t>
  </si>
  <si>
    <t>4540</t>
  </si>
  <si>
    <t>Składki dla organizacji międzynarodowych</t>
  </si>
  <si>
    <t>Dotacja celowa z budżetu na finansowanie lub dofinansowanie zadań zleconych do realizacji pozostałym jednostkom nie zaliczanym do sektora finansów publicznych</t>
  </si>
  <si>
    <t>2958</t>
  </si>
  <si>
    <t>4228</t>
  </si>
  <si>
    <t>4229</t>
  </si>
  <si>
    <t>4369</t>
  </si>
  <si>
    <t>6230</t>
  </si>
  <si>
    <t>Dotacje celowe z budżetu na finansowanie lub dofinansowanie kosztów realizacji inwestycji i zakupów inwestycyjnych jednostek niezaliczanych do sektora finansów publicznych</t>
  </si>
  <si>
    <t>6669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</si>
  <si>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</si>
  <si>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</si>
  <si>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</si>
  <si>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752</t>
  </si>
  <si>
    <t>Obrona narodowa</t>
  </si>
  <si>
    <t>75212</t>
  </si>
  <si>
    <t>Bezpieczeństwo publiczne i ochrona przeciwpożarowa</t>
  </si>
  <si>
    <t>Komendy wojewódzkie Policji</t>
  </si>
  <si>
    <t>6170</t>
  </si>
  <si>
    <t>Wpłaty jednostek na państwowy fundusz celowy na finansowanie lub dofinansowanie zadań inwestycyjnych</t>
  </si>
  <si>
    <t>Straż Graniczna</t>
  </si>
  <si>
    <t>3000</t>
  </si>
  <si>
    <t>Wpłaty jednostek na państwowy fundusz celowy</t>
  </si>
  <si>
    <t>Komendy wojewódzkie Państwowej Straży Pożarnej</t>
  </si>
  <si>
    <t>75412</t>
  </si>
  <si>
    <t>Ochotnicze straże pożarne</t>
  </si>
  <si>
    <t>75415</t>
  </si>
  <si>
    <t>Zadania ratownictwa górskiego i wodnego</t>
  </si>
  <si>
    <t>757</t>
  </si>
  <si>
    <t>Obsługa długu publicznego</t>
  </si>
  <si>
    <t>75702</t>
  </si>
  <si>
    <t>Obsługa papierów wartościowych, kredytów i pożyczek jednostek samorządu terytorialnego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</si>
  <si>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</si>
  <si>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</si>
  <si>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</si>
  <si>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</si>
  <si>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</si>
  <si>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</si>
  <si>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</si>
  <si>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</si>
  <si>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</si>
  <si>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</si>
  <si>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</si>
  <si>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</si>
  <si>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</si>
  <si>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</si>
  <si>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</si>
  <si>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</si>
  <si>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801</t>
  </si>
  <si>
    <t>Oświata i wychowanie</t>
  </si>
  <si>
    <t>80101</t>
  </si>
  <si>
    <t xml:space="preserve">Szkoły podstawowe </t>
  </si>
  <si>
    <t>80102</t>
  </si>
  <si>
    <t xml:space="preserve">Wynagrodzenia bezosobowe </t>
  </si>
  <si>
    <t>80111</t>
  </si>
  <si>
    <t>Gimnazja specjalne</t>
  </si>
  <si>
    <t>80116</t>
  </si>
  <si>
    <t>80121</t>
  </si>
  <si>
    <t>Licea ogólnokształcące specjalne</t>
  </si>
  <si>
    <t>80130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</si>
  <si>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</si>
  <si>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</si>
  <si>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</si>
  <si>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>3240</t>
  </si>
  <si>
    <t>Stypendia dla uczniów</t>
  </si>
  <si>
    <t>3247</t>
  </si>
  <si>
    <t>3249</t>
  </si>
  <si>
    <t>4247</t>
  </si>
  <si>
    <t>4249</t>
  </si>
  <si>
    <t>80146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</si>
  <si>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</si>
  <si>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>3027</t>
  </si>
  <si>
    <t>4227</t>
  </si>
  <si>
    <t>4267</t>
  </si>
  <si>
    <t>4347</t>
  </si>
  <si>
    <t>Zakup usług remontowo - konserwatorskich dotyczących obiektów zabytkowych będących w użytkowaniu jednostek budżetowych</t>
  </si>
  <si>
    <t>4349</t>
  </si>
  <si>
    <t>4367</t>
  </si>
  <si>
    <t xml:space="preserve">Opłaty z tytułu zakupu usług telekomunikacyjnych </t>
  </si>
  <si>
    <t>80147</t>
  </si>
  <si>
    <t>80151</t>
  </si>
  <si>
    <t>Kwalifikacyjne kursy zawodowe</t>
  </si>
  <si>
    <t>80195</t>
  </si>
  <si>
    <t>3040</t>
  </si>
  <si>
    <t>Nagrody o charakterze szczególnym niezaliczone do wynagrodzeń</t>
  </si>
  <si>
    <t>4701</t>
  </si>
  <si>
    <t>803</t>
  </si>
  <si>
    <t>Szkolnictwo wyższe</t>
  </si>
  <si>
    <t>80309</t>
  </si>
  <si>
    <t>4989</t>
  </si>
  <si>
    <t>Zwroty dotyczące rozliczeń z Komisją Europejską</t>
  </si>
  <si>
    <t>3250</t>
  </si>
  <si>
    <t>Stypendia różne</t>
  </si>
  <si>
    <t>80395</t>
  </si>
  <si>
    <t>2500</t>
  </si>
  <si>
    <t>Dotacja podmiotowa z budżetu dla uczelni niepublicznej na zadania, o których mowa w art. 94 ust. 1 pkt 1 ustawy z dnia 27 lipca 2005 r. - Prawo o szkolnictwie wyższym</t>
  </si>
  <si>
    <t>2520</t>
  </si>
  <si>
    <t>Dotacja podmiotowa z budżetu dla uczelni publicznej na zadania, o których mowa w art. 94 ust. 1 pkt 1 ustawy z dnia 27 lipca 2005 r. - Prawo o szkolnictwie wyższym</t>
  </si>
  <si>
    <t>6220</t>
  </si>
  <si>
    <t>Dotacje celowe z budżetu na finansowanie lub dofinansowanie kosztów realizacji inwestycji i zakupów inwestycyjnych innych jednostek sektora finansów publicznych</t>
  </si>
  <si>
    <t>Ochrona zdrowia</t>
  </si>
  <si>
    <t>85111</t>
  </si>
  <si>
    <t>4160</t>
  </si>
  <si>
    <t>Pokrycie ujemnego wyniku finansowego jednostek zaliczanych do sektora finansów publicznych</t>
  </si>
  <si>
    <t>2560</t>
  </si>
  <si>
    <t>Dotacja podmiotowa z budżetu dla samodzielnego publicznego zakładu opieki zdrowotnej utworzonego przez jednostkę samorządu terytorialnego</t>
  </si>
  <si>
    <t>85119</t>
  </si>
  <si>
    <t>Leczenie sanatoryjno - klimatyczne</t>
  </si>
  <si>
    <t>85120</t>
  </si>
  <si>
    <t>85121</t>
  </si>
  <si>
    <t>Lecznictwo ambulatoryjne</t>
  </si>
  <si>
    <t>85141</t>
  </si>
  <si>
    <t>85148</t>
  </si>
  <si>
    <t>Medycyna pracy</t>
  </si>
  <si>
    <t>Zwalczanie narkomanii</t>
  </si>
  <si>
    <t>Przeciwdziałanie alkoholizmowi</t>
  </si>
  <si>
    <t>85156</t>
  </si>
  <si>
    <t>4130</t>
  </si>
  <si>
    <t>Składki na ubezpieczenie zdrowotne</t>
  </si>
  <si>
    <t>85195</t>
  </si>
  <si>
    <t>Pomoc społeczna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</si>
  <si>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</si>
  <si>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85214</t>
  </si>
  <si>
    <t>Zasiłki okresowe, celowe i pomoc w naturze oraz składki na ubezpieczenia emerytalne i rentowe</t>
  </si>
  <si>
    <t>Powiatowe centra pomocy rodzinie</t>
  </si>
  <si>
    <t>Ośrodki pomocy społecznej</t>
  </si>
  <si>
    <t>85232</t>
  </si>
  <si>
    <t>Centra integracji społecznej</t>
  </si>
  <si>
    <t>85295</t>
  </si>
  <si>
    <t>3037</t>
  </si>
  <si>
    <t>4277</t>
  </si>
  <si>
    <t>4287</t>
  </si>
  <si>
    <t>4407</t>
  </si>
  <si>
    <t>4447</t>
  </si>
  <si>
    <t>4449</t>
  </si>
  <si>
    <t>4487</t>
  </si>
  <si>
    <t>4489</t>
  </si>
  <si>
    <t>4527</t>
  </si>
  <si>
    <t>Pozostałe zadania w zakresie polityki społecznej</t>
  </si>
  <si>
    <t>Rehabilitacja zawodowa i społeczna osób niepełnosprawnych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</si>
  <si>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</si>
  <si>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</si>
  <si>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</si>
  <si>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</si>
  <si>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6190</t>
  </si>
  <si>
    <t>Dotacje celowe z budżetu jednostki samorządu terytorialnego, udzielone w trybie art. 221 ustawy, na dofinansowanie inwestycji w ramach zadań zleconych do realizacji organizacjom prowadzącym działalność pożytku publicznego</t>
  </si>
  <si>
    <t>85332</t>
  </si>
  <si>
    <t>Wojewódzkie urzędy pracy</t>
  </si>
  <si>
    <t>85395</t>
  </si>
  <si>
    <t>Edukacyjna opieka wychowawcza</t>
  </si>
  <si>
    <t>85410</t>
  </si>
  <si>
    <t>Internaty i bursy szkolne</t>
  </si>
  <si>
    <t>Opłaty na rzecz budżetów jednostek budżetowych</t>
  </si>
  <si>
    <t>85416</t>
  </si>
  <si>
    <t>Pomoc materialna dla uczniów o charakterze motywacyjnym</t>
  </si>
  <si>
    <t>Młodzieżowe ośrodki wychowawcze</t>
  </si>
  <si>
    <t>Rodzina</t>
  </si>
  <si>
    <t>85503</t>
  </si>
  <si>
    <t>Karta Dużej Rodziny</t>
  </si>
  <si>
    <t xml:space="preserve">dotacje na zadania bieżące </t>
  </si>
  <si>
    <t>85509</t>
  </si>
  <si>
    <t>Gospodarka komunalna i ochrona środowiska</t>
  </si>
  <si>
    <t>90002</t>
  </si>
  <si>
    <t>90004</t>
  </si>
  <si>
    <t>Utrzymanie zieleni w miastach i gminach</t>
  </si>
  <si>
    <t>90007</t>
  </si>
  <si>
    <t>90015</t>
  </si>
  <si>
    <t>Oświetlenie ulic, placów i dróg</t>
  </si>
  <si>
    <t>90019</t>
  </si>
  <si>
    <t>90020</t>
  </si>
  <si>
    <t>90024</t>
  </si>
  <si>
    <t>Wpływy i wydatki związane z wprowadzeniem do obrotu baterii i akumulatorów</t>
  </si>
  <si>
    <t>90095</t>
  </si>
  <si>
    <t>Kultura i ochrona dziedzictwa narodowego</t>
  </si>
  <si>
    <t>Pozostałe zadania w zakresie kultury</t>
  </si>
  <si>
    <t>92106</t>
  </si>
  <si>
    <t xml:space="preserve">Teatry </t>
  </si>
  <si>
    <t>2480</t>
  </si>
  <si>
    <t>Dotacja podmiotowa z budżetu dla samorządowej instytucji kultury</t>
  </si>
  <si>
    <t>2800</t>
  </si>
  <si>
    <t>Dotacja celowa z budżetu dla pozostałych jednostek zaliczanych do sektora finansów publicznych</t>
  </si>
  <si>
    <t>92108</t>
  </si>
  <si>
    <t>92109</t>
  </si>
  <si>
    <t>6229</t>
  </si>
  <si>
    <t>Zwrot niewykorzystanych dotacji oraz płatności, dotyczące wydatków majątkowych</t>
  </si>
  <si>
    <t>92110</t>
  </si>
  <si>
    <t>Galerie i biura wystaw artystycznych</t>
  </si>
  <si>
    <t>92114</t>
  </si>
  <si>
    <t>Pozostałe instytucje kultury</t>
  </si>
  <si>
    <t>92118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</si>
  <si>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</si>
  <si>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</si>
  <si>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</si>
  <si>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2730</t>
  </si>
  <si>
    <t>Dotacje celowe otrzymane z budżetu przez użytkowników zabytków niebędących jednostkami budżetowymi na finansowanie i dofinansowanie prac remontowych i konserwatorskich przy tych zabytkach</t>
  </si>
  <si>
    <t>92195</t>
  </si>
  <si>
    <t>Ogrody botaniczne i zoologiczne oraz naturalne obszary i obiekty chronionej przyrody</t>
  </si>
  <si>
    <t>92502</t>
  </si>
  <si>
    <t>Kultura fizyczna</t>
  </si>
  <si>
    <t>Zadania w zakresie kultury fizycznej</t>
  </si>
  <si>
    <t>dotacje  na zadania bieżące:</t>
  </si>
  <si>
    <t>2820</t>
  </si>
  <si>
    <t>Dotacja celowa z budżetu na finansowanie lub dofinansowanie zadań zleconych do realizacji stowarzyszeniom</t>
  </si>
  <si>
    <t>92695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</si>
  <si>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</si>
  <si>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</si>
  <si>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</si>
  <si>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</si>
  <si>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</si>
  <si>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</si>
  <si>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</si>
  <si>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</si>
  <si>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</si>
  <si>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</si>
  <si>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</si>
  <si>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</si>
  <si>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</si>
  <si>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</si>
  <si>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</si>
  <si>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ZESTAWIENIE  DOCHODÓW  I  WYDATKÓW  ZWIĄZANYCH  
Z  REALIZACJĄ  ZADAŃ  Z  ZAKRESU  ADMINISTRACJI  RZĄDOWEJ  
ORAZ  INNYCH  ZADAŃ  ZLECONYCH  SAMORZĄDOWI 
WOJEWÓDZTWA  PODKARPACKIEGO USTAWAMI</t>
  </si>
  <si>
    <t>DOCHODY Z TYTUŁU PRZYZNANYCH Z BUDŻETU PAŃSTWA DOTACJI 
NA REALIZACJĘ ZADAŃ Z ZAKRESU ADMINISTRACJI RZĄDOWEJ</t>
  </si>
  <si>
    <t>OCHRONA  ZDROWIA</t>
  </si>
  <si>
    <t>Składki na ubezpieczenie zdrowotne oraz świadczenia 
dla osób nieobjętych obowiązkiem ubezpieczenia zdrowotnego</t>
  </si>
  <si>
    <t xml:space="preserve">Działalność ośrodków adopcyjnych 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</si>
  <si>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</si>
  <si>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 xml:space="preserve">    w złotych</t>
  </si>
  <si>
    <t>z tego: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</si>
  <si>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</si>
  <si>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</si>
  <si>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</si>
  <si>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</si>
  <si>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</si>
  <si>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razem</t>
  </si>
  <si>
    <t>Zadania z zakresu geodezji 
i kartografii</t>
  </si>
  <si>
    <t>Działaność ośrodków adopcyjnych</t>
  </si>
  <si>
    <t xml:space="preserve">PLAN  DOCHODÓW  PODLEGAJĄCYCH  PRZEKAZANIU  DO  BUDŻETU  PAŃSTWA ORAZ STANOWIĄCYCH DOCHÓD BUDŻETU WOJEWÓDZTWA ZWIĄZANYCH  Z  REALIZACJĄ  ZADAŃ  
Z  ZAKRESU  ADMINISTRACJI  RZĄDOWEJ </t>
  </si>
  <si>
    <t>Dochody
OGÓŁEM</t>
  </si>
  <si>
    <t>w tym: podlegające przekazaniu</t>
  </si>
  <si>
    <t xml:space="preserve">do budżetu państwa </t>
  </si>
  <si>
    <t>do budżetu samorządu</t>
  </si>
  <si>
    <t>DZIAŁANOŚĆ USŁUGOWA</t>
  </si>
  <si>
    <t>71005</t>
  </si>
  <si>
    <t>8.</t>
  </si>
  <si>
    <t>9.</t>
  </si>
  <si>
    <t>4437</t>
  </si>
  <si>
    <t>Gospodarka odpadami komunalnymi</t>
  </si>
  <si>
    <t>Wojewódzka Stacja Pogotowia Ratunkowego w Przemyślu</t>
  </si>
  <si>
    <t>Jednostki samorządu terytorialnego wg podziału dokonywanego przez Zarząd</t>
  </si>
  <si>
    <t xml:space="preserve">Wojewódzka Stacja Pogotowia Ratunkowego w Rzeszowie </t>
  </si>
  <si>
    <t>Zakład Aktywności Zawodowej w Budach Głogowskich</t>
  </si>
  <si>
    <t>Plan dochodów na 2020 r. według działów, rozdziałów, paragrafów klasyfikacji budżetowej oraz źródeł dochodów</t>
  </si>
  <si>
    <t>Plan wg uchwały budżetowej Sejmiku na 2019</t>
  </si>
  <si>
    <t>Plan dochodów na 2019 r. wg stanu na 31.08.2019 r. - przewidywane wykonanie dochodów w 2019 r.</t>
  </si>
  <si>
    <t>Prognozowana kwota na 2020 r.</t>
  </si>
  <si>
    <t>% (7:6)</t>
  </si>
  <si>
    <t>Plan na 2020 r.</t>
  </si>
  <si>
    <t>Uwagi</t>
  </si>
  <si>
    <t>11.</t>
  </si>
  <si>
    <t>Brak potwierdzenia dotacji.</t>
  </si>
  <si>
    <t xml:space="preserve">Zwrot części niewykorzystanej dotacji oraz dotacji wykorzystanej niezgodnie z przeznaczeniem, pobranej nienależnie lub w nadmiernej wysokości w ramach projektu on.: "Podkarpacka Platforma Wparcia Biznesu" w ramach Regionalnego Programu Operacyjnego Województwa Podkarpackiego na lata 2014-2020 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</si>
  <si>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</si>
  <si>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>Dotacje celowe otrzymane od samorządu województwa na zadania bieżące realizowane na podstawie porozumień (umów) miedzy jednostkami samorządy terytorialnego</t>
  </si>
  <si>
    <t>Dotacje otrzymane z państwowych funduszy celowych na realizację zadań bieżących jednostek sektora finansów publicznych</t>
  </si>
  <si>
    <t>Środki pochodzące z budżetu Unii Europejskiej na realizację zadania pn.: "Budowa Podmiejskiej Kolei Aglomeracyjnej - PKA": zakup taboru - w ramach Programu Operacyjnego Infrastruktura i Środowisko na lata 2014 - 2020</t>
  </si>
  <si>
    <t>Dotacje otrzymane z państwowych funduszy celowych na finansowanie lub dofinansowanie kosztów realizacji inwestycji i zakupów inwestycyjnych i jednostek sektora finansów publicznych</t>
  </si>
  <si>
    <t xml:space="preserve">Zwrot podatku VAT od zakupów planowanych w związku z realizacją zadania pn.: "Budowa Podmiejskiej Kolei Aglomeracyjnej - PKA": budowa zaplecza technicznego w ramach Programu Operacyjnego Infrastruktura i Środowisko na lata 2014 - 2020 </t>
  </si>
  <si>
    <t>Wpływy z odsetek od nienależnie pobranych dotacji przez przewoźników</t>
  </si>
  <si>
    <t>0900</t>
  </si>
  <si>
    <t>Zwrot dotacji wykorzystanych niezgodnie z przeznaczeniem przez przewoźników autobusowych</t>
  </si>
  <si>
    <t>W zakresie roku 2020 środki ujęte w ramach działu 758 rozdziału 75802.</t>
  </si>
  <si>
    <t xml:space="preserve">Środki pochodzących z budżetu Unii Europejskiej na realizację projektu własnego pn.  „Budowa nowego odcinka drogi wojewódzkiej Nr 992 w miejscowości Jasło" w ramach Programu Współpracy Transgranicznej Interreg V-A Polska - Słowacja 2014-2020 </t>
  </si>
  <si>
    <t>Środki z państwowych funduszy celowych na finansowanie lub dofinansowanie kosztów realizacji inwestycji i zakupów inwestycyjnych jednostek sektora finansów publicznych</t>
  </si>
  <si>
    <t>OR  83.000 ,-</t>
  </si>
  <si>
    <t>DT 80.000</t>
  </si>
  <si>
    <t>Wpływy z usług - media</t>
  </si>
  <si>
    <t>Dochody ze sprzedaży mienia będącego w zasobie Województwa.
Wykaz nieruchomości do sprzedaży:
1) Działki okołolotniskowe - 3.000.000,-zł,
2) Lubaczów - Lokal użytkowy nr 2 w budynku położonym w Lubaczowie przy ul. Słowackiego na działce nr 2750/1 wraz z garażami położonymi na działkach nr 2750/5 i 2750/7, z udziałem w działkach nr 2750/2 i 2750/3 (obiekt po PZMiUW w Rzeszowie) - 160.000,-zł,
3) Mielec - lokal nr 5 w budynku przy ul. Korczaka w Mielcu na działce nr 805/2, działka nr 805/10 zabudowana budynkiem garażowym z udziałem w działkach nr 805/4 i 805/8 (obiekt po PZMiUW w Rzeszowie) - 480.000,-zł,
4) Przemyśl - nieruchomość położona w Przemyślu przy ul. Łukasińskiego, oznaczona jako działki ewidencyjne nr 1506 o pow. 0,1277 ha i nr 1512 o pow. 0,1437 ha, zabudowana budynkiem po byłym Kolegium Nauczycielskim im. Fredry w Przemyślu - 1.250.000,-zł.</t>
  </si>
  <si>
    <t xml:space="preserve">Wykaz nieruchomości do sprzedaży:
1) Działki okołolotniskowe - 3.000.000,-zł,
2) Lubaczów - Lokal użytkowy nr 2 w budynku położonym w Lubaczowie przy ul. Słowackiego na działce nr 2750/1 wraz z garażami położonymi na działkach nr 2750/5 i 2750/7, z udziałem w działkach nr 2750/2 i 2750/3 (obiekt po PZMiUW w Rzeszowie) - 160.000,-zł,
3) Mielec - lokal nr 5 w budynku przy ul. Korczaka w Mielcu na działce nr 805/2, działka nr 805/10 zabudowana budynkiem garażowym z udziałem w działkach nr 805/4 i 805/8 (obiekt po PZMiUW w Rzeszowie) - 480.000,-zł,
4) Przemyśl - nieruchomość położona w Przemyślu przy ul. Łukasińskiego, oznaczona jako działki ewidencyjne nr 1506 o pow. 0,1277 ha i nr 1512 o pow. 0,1437 ha, zabudowana budynkiem po byłym Kolegium Nauczycielskim im. Fredry w Przemyślu - 1.250.000,-zł.
</t>
  </si>
  <si>
    <t>Zwrot części dotacji wykorzystanych niezgodnie z przeznaczeniem, pobranej w nienależnej lub nadmiernej wysokości przez Partnerów projektu pn.: "PSeAP - Podkarpacki System e- Administracji Publicznej" w ramach Regionalnego Programu Operacyjnego Województwa Podkarpackiego na lata 2007 -2013</t>
  </si>
  <si>
    <t>6667</t>
  </si>
  <si>
    <t>SZKOLNICTWO WYŻSZE I NAUKA</t>
  </si>
  <si>
    <t xml:space="preserve">Zwrotu nadpłaconych wydatków w ramach realizacji projektu Urzędu Marszałkowskiego Województwa Podkarpackiego w Rzeszowie 
pn. „Promocja Gospodarcza Województwa Podkarpackiego" realizowanego w ramach RPO WP na lata 2014 – 2020 </t>
  </si>
  <si>
    <t>Środki pochodzące z budżetu Unii Europejskiej jako refundacja wydatków poniesionych ze środków własnych na realizację projektu pn. "Świat karpackich rozet - działania na rzecz zachowania kulturowej unikalności Karpat" w ramach Programu Współpracy Transgranicznej Polska-Białoruś-Ukraina 2014-2020</t>
  </si>
  <si>
    <t>Środki pochodzące z budżetu Unii Europejskiej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</si>
  <si>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>Środki pochodzące z budżetu Unii Europejskiej na realizację projektu pn. "Wysokie standardy obsługi inwestora w samorządach województwa podkarpackiego" w ramach   Programu Operacyjnego Wiedza, Edukacja, Rozwój na lata 2014 - 2020</t>
  </si>
  <si>
    <t>Środki pochodzące z budżetu Unii Europejskiej na realizację projektu pn. "Zadanie polegające na współpracy z Urzędami Marszałkowskimi w zakresie wzmacniania zdolności gmin do programowania i wdrażania działań rewitalizacyjnych" w ramach Programu Operacyjnego Pomoc Techniczna 2014-2020</t>
  </si>
  <si>
    <t>Dotacja celowa z budżetu państwa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</si>
  <si>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>Dotacja celowa z budżetu państwa na realizację projektu pn. "Wysokie standardy obsługi inwestora w samorządach województwa podkarpackiego" w ramach   Programu Operacyjnego Wiedza, Edukacja, Rozwój na lata 2014 - 2020</t>
  </si>
  <si>
    <t>Dotacja celowa z budżetu państwa na realizację projektu pn. "Zadanie polegające na współpracy z Urzędami Marszałkowskimi w zakresie wzmacniania zdolności gmin do programowania i wdrażania działań rewitalizacyjnych" w ramach Programu Operacyjnego Pomoc Technicza 2014-2020</t>
  </si>
  <si>
    <t>Środki pochodzące z budżetu Unii Europejskiej na realizację projektu pn.   "Wysokie standardy obsługi inwestora w samorządach województwa podkarpackiego" w ramach   Programu Operacyjnego Wiedza, Edukacja, Rozwój na lata 2014 - 2020</t>
  </si>
  <si>
    <t>Środki pochodzące z budżetu Unii Europejskiej jako refundacja wydatków poniesionych ze środków własnych na realizację projektu pn.: "Wspólnie wzbogacamy polsko-słowackie pogranicze" w ramach Programu Współpracy Transgranicznej INTERREG V-A Polska - Słowacja 2014-2020</t>
  </si>
  <si>
    <t>Dotacja celowa z budżetu państwa na realizację projektu pn. "Wysokie standardy obsługi inwestora w samorządach województwa podkarpackiego" w ramach Programu Operacyjnego Wiedza, Edukacja, Rozwój na lata 2014 - 2020</t>
  </si>
  <si>
    <t xml:space="preserve">Dotacja celowa z budżetu państwa jako refundacja wydatków poniesionych ze środków własnych na realizację projektu pn. "Wspólnie wzbogacamy polsko-słowackie pogranicze" w ramach Programu Współpracy Transgranicznej INTERREG V-A Polska - Słowacja 2014-2020 </t>
  </si>
  <si>
    <t>Dotacja celowa otrzymane z tytułu pomocy finansowej udzielanej między jednostkami samorządu terytorialnego na dofinansowanie własnych zadań bieżących</t>
  </si>
  <si>
    <t>POZOSTAŁE WYDATKI OBRONNE</t>
  </si>
  <si>
    <t>Zgodnie z kwotą ujętą w WPF WP na lata 2019 - 2042.</t>
  </si>
  <si>
    <t>Subwencje ogólne z budżetu państwa na dofinansowanie budowy, przebudowy, remontu, utrzymania, ochrony dróg wojewódzkich i zarządzania tymi drogami.</t>
  </si>
  <si>
    <t>W roku 2019 środki ujęte były w ramach działu 600 rozdziału 60013.</t>
  </si>
  <si>
    <t>jako dochody własne w tym roku</t>
  </si>
  <si>
    <t>poziom roku 2019</t>
  </si>
  <si>
    <t>Środki pochodzące z budżetu Unii Europejskiej na realizację projektu pn.: "Rozwijanie kompetencji kadry dydaktycznej w zakresie doradztwa edukacyjno - zawodowego (makroregion IV)" w ramach Programu Operacyjnego Wiedza Edukacja Rozwój na lata 2014 - 2020</t>
  </si>
  <si>
    <t>Dotacja celowa z budżetu państwa na realizację projektu pn.: "Rozwijanie kompetencji kadry dydaktycznej w zakresie doradztwa edukacyjno - zawodowego (makroregion IV)" w ramach Programu Operacyjnego Wiedza Edukacja Rozwój na lata 2014 - 2020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</si>
  <si>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</si>
  <si>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Środki otrzymane z państwowych funduszy celowych na realizację zadań bieżących jednostek sektora finansów publicznych</t>
  </si>
  <si>
    <t>2170</t>
  </si>
  <si>
    <t>Środki otrzymane z państwowych funduszy celowych na finansowanie lub dofinansowanie kosztów realizacji inwestycji i zakupów inwestycyjnych jednostek sektora finansów publicznych</t>
  </si>
  <si>
    <t>Środki z Funduszu Gwarantowanych Świadczeń Pracowniczych</t>
  </si>
  <si>
    <t xml:space="preserve">Dotacja celowa z budżetu państwa na współfinansowanie wydatków na realizację projektu pn.: „Standardy w zakresie mieszkalnictwa wspomaganego dla osób chorujących psychicznie po wielokrotnych pobytach w szpitalach psychiatrycznych" w ramach Programu Operacyjnego Wiedza, Edukacja, Rozwój 2014-2020 </t>
  </si>
  <si>
    <t>1% wpływu z tytułu opłaty recyklingowej za opakowania</t>
  </si>
  <si>
    <t>0240</t>
  </si>
  <si>
    <t>Pozostałe działania związane z gospodarką odpadami</t>
  </si>
  <si>
    <t xml:space="preserve">Dotacje celowe otrzymane z gminy na inwestycje i zakupy inwestycyjne realizowane na podstawie porozumień (umów) między jednostkami samorządu terytorialnego </t>
  </si>
  <si>
    <t xml:space="preserve">finansowane z dotacji </t>
  </si>
  <si>
    <t>finansowane z dochodów własnych</t>
  </si>
  <si>
    <t>Plan wydatków na 2020 r. według działów, rozdziałów, grup wydatków, paragrafów klasyfikacji budżetowej</t>
  </si>
  <si>
    <t>Plan wydatków na 2019 r. wg stanu na 31.08.2019 r. przewidywane wykonanie wydatków w 2019</t>
  </si>
  <si>
    <t>Składki na Fundusz Pracy oraz Solidarnościowy Fundusz Wsparcia Osób Niepełnosprawnych</t>
  </si>
  <si>
    <t>4560</t>
  </si>
  <si>
    <t xml:space="preserve">Odsetki od dotacji oraz płatności: wykorzystanych niezgodnie z przeznaczeniem lub wykorzystanych z naruszeniem procedur, o których mowa w art. 184 ustawy, pobranych nienależnie lub w nadmiernej wysokości </t>
  </si>
  <si>
    <t>488</t>
  </si>
  <si>
    <t>0</t>
  </si>
  <si>
    <t>6208</t>
  </si>
  <si>
    <t>60017</t>
  </si>
  <si>
    <t>Drogi wewnętrzne</t>
  </si>
  <si>
    <t>2005</t>
  </si>
  <si>
    <t>4015</t>
  </si>
  <si>
    <t>4016</t>
  </si>
  <si>
    <t>4115</t>
  </si>
  <si>
    <t>4116</t>
  </si>
  <si>
    <t>4125</t>
  </si>
  <si>
    <t>4126</t>
  </si>
  <si>
    <t>4215</t>
  </si>
  <si>
    <t>4216</t>
  </si>
  <si>
    <t>4305</t>
  </si>
  <si>
    <t>4306</t>
  </si>
  <si>
    <t>4415</t>
  </si>
  <si>
    <t>4416</t>
  </si>
  <si>
    <t>4425</t>
  </si>
  <si>
    <t>4426</t>
  </si>
  <si>
    <t>71035</t>
  </si>
  <si>
    <t>Cmentarze</t>
  </si>
  <si>
    <t>Szkolnictwo wyższe i nauka</t>
  </si>
  <si>
    <t>73016</t>
  </si>
  <si>
    <t>2260</t>
  </si>
  <si>
    <t>Dotacja podmiotowa z budżetu dla jednostek systemu szkolnictwa wyższego i nauki niezaliczanych do sektora finansów publicznych</t>
  </si>
  <si>
    <t>2270</t>
  </si>
  <si>
    <t>Dotacja podmiotowa z budżetu dla jednostek systemu szkolnictwa wyższego i nauki zaliczanych do sektora finansów publicznych</t>
  </si>
  <si>
    <t>75023</t>
  </si>
  <si>
    <t>Urzędy gmin (miast i miast na prawach powiatu)</t>
  </si>
  <si>
    <t>2300</t>
  </si>
  <si>
    <t>80104</t>
  </si>
  <si>
    <t>Przedszkola</t>
  </si>
  <si>
    <t>85508</t>
  </si>
  <si>
    <t>Rodziny zastępcze</t>
  </si>
  <si>
    <t>Gospodarka odpadami</t>
  </si>
  <si>
    <t>90026</t>
  </si>
  <si>
    <t>92501</t>
  </si>
  <si>
    <t>Parki narodowe</t>
  </si>
  <si>
    <t>„Budowa łącznika autostrady A4 (węzeł Sędziszów Małopolski) z drogą krajową nr 94 wraz z niezbędną infrastrukturą techniczną, budowlami i urządzeniami budowlanymi – etap I”</t>
  </si>
  <si>
    <t xml:space="preserve">Realizacja wskazanych zadań i programów:
</t>
  </si>
  <si>
    <t>Dotacje celowe dla gmin z przeznaczeniem na modernizację dróg dojazdowych do gruntów rolnych oraz renowację zbiorników wodnych służących małej retencji.</t>
  </si>
  <si>
    <t>Dotacje celowe dla powiatów na zakup sprzętu pomiarowego i informatycznego oraz oprogramowania niezbędnego do prowadzenia spraw ochrony gruntów rolnych oraz renowację zbiorników wodnych służących małej retencji.</t>
  </si>
  <si>
    <t>Dotacje celowe dla gmin z przeznaczeniem na budowę i modernizację dróg dojazdowych do gruntów rolnych oraz budowę i renowację zbiorników wodnych służących małej retencji.</t>
  </si>
  <si>
    <t>Dotacje celowe dla powiatów na zakup sprzętu pomiarowego i informatycznego oraz oprogramowania niezbędnego do prowadzenia spraw ochrony gruntów rolnych oraz budowę i renowację zbiorników wodnych służących małej retencji.</t>
  </si>
  <si>
    <t xml:space="preserve">na realizację Programu aktywizacji gospodarczo-turystycznej województwa podkarpackiego poprzez promocję cennych przyrodniczo i krajobrazowo terenów łąkowo-pastwiskowych z zachowaniem bioróżnorodności w oparciu o naturalny wypas zwierząt gospodarskich i owadopylności - "Podkarpacki Naturalny Wypas II" </t>
  </si>
  <si>
    <t>Wpłata na Wojewódzki Fundusz Wsparcia Policji z przeznaczeniem na zakup sprzętu i wyposażenia specjalistycznego.</t>
  </si>
  <si>
    <t>Wpłata na Fundusz Wsparcia Bieszczadzkiego Oddziału Straży Granicznej im. gen. bryg. Jana Tomasza Gorzechowskiego w Przemyślu z przeznaczeniem na zakup sprzętu i wyposażenia specjalistycznego.</t>
  </si>
  <si>
    <t>Wpłata na Wojewódzki Fundusz Wsparcia Państwowej Straży Pożarnej  z przeznaczeniem na zakup sprzętu i wyposażenia specjalistycznego.</t>
  </si>
  <si>
    <t>Realizacja zadań inwestycyjnych pn.: 
1) Utworzenie Centrum Interwencyjnego Leczenia Udarów Mózgu w Klinicznym Szpitalu Nr 2 im. Św. Jadwigi Królowej  w  Rzeszowie - 4.243.777,-zł,
2) Przebudowa Kliniki Neurologii Dzieci wraz z wyposażeniem medycznym i niemedycznym - 5.689.599,-zł,
3) Modernizacja i doposażenie Klinicznego Szpitala Wojewódzkiego Nr 2 im. Św. Jadwigi Królowej w Rzeszowie na potrzeby funkcjonowania centrum urazowego dla dzieci - 2.896.777,-zł.</t>
  </si>
  <si>
    <t>Wojewódzkie Szpital im. Zofii z Zamoyskich Tarnowskiej w Tarnobrzegu</t>
  </si>
  <si>
    <t>Realizacja zadania inwestycyjnego pn. : 
1) Modernizacja i rozbudowa budynku Nr 1 - 3.100.000,-zł,
2) Modernizacja energetyczna budynków SP ZOZ Jarosław - 642.886,-zł.</t>
  </si>
  <si>
    <t>Realizacja zadania inwestycyjnego pn.: 
1) Adaptacja pomieszczeń  II pietra budynku przy ul. M. F. Focha w Przemyślu na Oddział Dzienny Terapii Uzależnienia  od Alkoholu - 1.099.340,-zł
2) Modernizacja sieci ciepłej wody użytkowej – II etap realizacji - 299.820,-zł.</t>
  </si>
  <si>
    <t xml:space="preserve">Realizację zadań inwestycyjnych pn.: 
1) Modernizacja pokrycia dachowego na budynku Wojewódzkiego Zespołu Specjalistycznego w Rzeszowie przy ul. Warzywnej 3 - 162.876,-zł,
2) Modernizacja pokrycia dachowego na budynku Wojewódzkiego Zespołu Specjalistycznego w Rzeszowie przy ul. Hetmańskiej 120 - 162.876,zł,
3) Zakup aparatu USG - 193.900,-zł. </t>
  </si>
  <si>
    <t>Obwód Lecznictwa Kolejowego w Rzeszowie</t>
  </si>
  <si>
    <t>Realizację zadania inwestycyjnego pn.:  Rozbudowa, nadbudowa i modernizacja budynków Obwodu Lecznictwa Kolejowego  w Rzeszowie Samodzielnym Publicznym Zakładzie Opieki Zdrowotnej.</t>
  </si>
  <si>
    <t>Realizacja zadania inwestycyjnego pn.: zakup sprzętu na potrzeby ratownictwa medycznego.</t>
  </si>
  <si>
    <t>Realizacja zadań inwestycyjnych pn.: 
1) Adaptację budynku portierni z chlorownią na potrzeby Wojewódzkiej Stacji Pogotowia Ratunkowego w Przemyślu - 188.000,-zł,
2) Budowę garażu dla ambulansów w lokalizacji przy ul. Monte Cassino 18 - 100.000,-zł.</t>
  </si>
  <si>
    <t>Realizacja zadania inwestycyjnego pn.: zakup aparatu USG z wyposażeniem.</t>
  </si>
  <si>
    <t xml:space="preserve">Realizacja wskazanych zadań i programów: 
1) 07. Festiwal Nowego Teatru - 59. Rzeszowskie Spotkania Teatralne - 250.000,-zł,
2) 26. Rzeszowskie Spotkania Karnawałowe – 100.000,-zł,
3) Międzynarodowy Festiwal Sztuk TRANS/MISJE - Rzeszów-Koszyce-Ostrawa-Debreczyn-Lwów-Troki - 300.000,-zł,
4) Międzynarodowy Festiwal TRANS/MISJE - WSCHÓD SZTUKI-Rzeszów-Batumi-Odessa-Wilno - 300.000,-zł,
5) prezentację spektaklu o Niezłomnych pt. "Obława" - 50.000,-zł,
6) Scena Wędrowna Teatru im. W. Siemaszkowej w Rzeszowie - 200.000,-zł. </t>
  </si>
  <si>
    <t>Realizacja zadań inwestycyjnych pn. 
1) Dostosowanie budynków Teatru im. Wandy Siemaszkowej do wymagań ochrony przeciwpożarowej Etap V - § 6220 - 1.220.000,-zł.
2) Zakup mobilnej infrastruktury technicznej do wykorzystania podczas otwartych imprez kulturalnych m.in.: TRANS/MISJE 2020, Scena Wędrowna, Scena Letnia na dziedzińcu Teatru im. Wandy Siemaszkowej, koncert plenerowe - § 6220 - 1.249.084,-zł</t>
  </si>
  <si>
    <t>Realizacja wskazanych zadań i programów:
organizacja cyklu koncertów pn. „Przestrzeń otwarta dla muzyki”.</t>
  </si>
  <si>
    <t xml:space="preserve">Realizacja wskazanych zadań i programów:  
1) VI Podkarpacką Jesień Jazzową - 25.000 zł,
2)  XIX Międzynarodowy Niekonwencjonalny Konkurs Fotograficzny "Foto Odlot" - 20.000,-zł,
3) Festiwal KINOLUB - 40.000,-zł
4) realizację zadania pn. "GreenFilmTourism" - 41.701,-zł. </t>
  </si>
  <si>
    <t xml:space="preserve">Realizacja zadań inwestycyjnych pn. :
1) Podkarpacki Regionalny Fundusz Filmowy - projekt Wsparcie Produkcji Filmowej - 600.000,-zł,
2) Podkarpacka Kronika Filmowa - 80.000,-zł,
3) zakup sprzętu komputerowego z oprogramowaniem - 30.000,-zł,
4) zakup urządzenia wielofunkcyjnego A-3 (ksero, drukarka, skaner) - 15.000,-zł,
5) Program "Łukasiewicz" - 60.000,-zł,
6) "GreenFilmTourism" - 9.000,-zł. </t>
  </si>
  <si>
    <t>Realizacja zadania inwestycyjnego pn.:
zakup sprzętu komputerowego, urządzeń wielofunkcyjnych, skanera i drukarki oraz specjalistycznego oprogramowania - etap I.</t>
  </si>
  <si>
    <t>Realizacja wskazanych zadań i programów:
1) Międzynarodowy Festiwal Jazzowy „JAZZ BEZ…" – 50.000 zł,
2) 41. Biesiada Teatralna w Horyńcu Zdroju – Konfrontacje Zespołów Teatralnych Małych Form, warsztaty, reminiscencje horynieckie – 40.000 zł,
3) 42. Ogólnopolski Festiwal Kapel Folkloru Miejskiego im. Jerzego Janickiego – 40.000 zł,
4) realizacja projektów popularyzujących i interpretujących dziedzictwo regionalne Podkarpacia i Kresów Dawnej Rzeczypospolitej – 160.000 zł,
5) CK JAZZ - 30.000 zł.
6) wkład własny do zadania pn.  Bardzo Młoda Kultura dla Centrum Kulturalnego w Przemyślu - 200.150,-zł.</t>
  </si>
  <si>
    <t>Realizacja zadań inwestycyjnych pn.:
1) budowa pomnika Piotra Michałowskiego - 75.000,-zł,
2) budowa budynku kasy przy wejściu do ogrodu - 405.000,-zł.</t>
  </si>
  <si>
    <t>Realizacja zadań inwestycyjnych pn.:
1) Nowoczesna biblioteka - poprawa stanu infrastruktury informatycznej w WiMBP w Rzeszowie - 283.000,-zł,
2) Adaptacja strychu na pomieszczenia biurowe w budynku przy ul. Sokoła 13 w Rzeszowie - 65.000,-zł.</t>
  </si>
  <si>
    <t>Realizacja wskazanych zadań i programów: 
1) zadanie pn. Prace remontowe, konserwatorskie i budowlane Oranżerii oraz Ujeżdżalni w ramach przedsięwzięcia "Ochrona i rozwój dziedzictwa kulturowego dawnej Ordynacji Łańcuckiej poprzez prace remontowo-konserwatorskie oraz wykreowanie nowych przestrzeni ekspozycyjnych OR-KA II, III, IV, VII - 3.698,-zł.
2) wkład własny do zadania pn. www.muzeach - 47.067,-zł.</t>
  </si>
  <si>
    <t>Realizacja wskazanych zadań i programów: 
1) organizacja XI edycji Festiwalu „Karpaty zaklęte w drewnie” – 40.000,-zł,
2) organizacja XLV edycji Jarmarku Folklorystycznego - 30.000,-zł.</t>
  </si>
  <si>
    <t>Realizacja wskazanych zadań i programów: wystawienie sztuki teatralnej na motywach baśni "O krasnoludkach i o sierotce Marysi" (w ramach Nocy Muzeów).</t>
  </si>
  <si>
    <t>Realizacja zadania inwestycyjnego pn.: Prace remontowe, konserwatorskie i budowlane Oranżerii oraz Ujeżdżalni w ramach przedsięwzięcia "Ochrona i rozwój dziedzictwa kulturowego dawnej Ordynacji Łańcuckiej poprzez prace remontowo-konserwatorskie oraz wykreowanie nowych przestrzeni ekspozycyjnych OR-KA II, III, IV, VII.</t>
  </si>
  <si>
    <t>Realizacja zadań inwestycyjnych pn.: 
1) Wykonanie nowego systemu sygnalizacji pożarowej w obiektach Muzeum przy ul. 3 Maja 19 - 325.000,-zł,
2) Zaprojektowanie i wykonanie instalacji oświetlenia ewakuacyjnego budynku Muzeum Etnograficznego przy ul. Rynek 6 w Rzeszowie - 52.000,-zł,
3) Przebudowa i zmiana sposobu użytkowania XVI w. dworu - spichlerza w Zgłobniu na cele biurowe i magazynowe. Regionalna Składnica Zabytków Archeologicznych - 683.522,-zł,
4) wkład własny do zadania pn. EtnoCarpathia - 89.223,-zł.</t>
  </si>
  <si>
    <t>Realizacja wskazanych zadań i programów:  wkład własny do zadania pn. EtnoCarpathia.</t>
  </si>
  <si>
    <t xml:space="preserve">Realizację zadań inwestycyjnyjnych pn.: 
1) wymiana monitoringu w Skansenie (TV dozorowa) - 180.000,-zł,
2) Rewitalizacja obiektów użyteczności publicznej w celu nadania im nowej funkcji społecznej - 980.321,-zł. </t>
  </si>
  <si>
    <t>Muzeum Kultury Ludowej w Kolbuszowej</t>
  </si>
  <si>
    <t>Realizacja zadań inwestycyjnych pn.: 
1) Budowa założenia plebańskiego: zestawienie do stanu surowego budynków: stajni z Bud Łańcuckich, domu parafialnego z Książnic, plebanii z Ostrów Tuszowskich - 1.118.000,-zł,
2) Budowa założenia leśnego - kontynuacja prac - 100.000,-zł,  
3) zakup Strugarki wyrówniarki - 26.000,-zł.</t>
  </si>
  <si>
    <t>Realizacja zadań inwestycyjnych pn.: 
1) Instalacja zabezpieczeń technicznych w budynkach przeznaczonych na magazyny zbiorów muzealnych znajdujących się przy ul. Rogozińskiego 30 w Przemyślu - 164.000,-zł,
2) Podziemna Trasa Turystyczna w Przemyślu - 227.966,-zł.</t>
  </si>
  <si>
    <t>Realizacja zadań inwestycyjnych pn. 
1) Modernizacja ogrodzenia Muzeum Marii Konopnickiej w Żarnowcu - 50.000,-zł,
2) Modernizacja wystawy czasowej 25.000,-zł.</t>
  </si>
  <si>
    <t>Realizacja zadania inwestycyjnego: Synagoga drewniana z Połańca - polichromia.</t>
  </si>
  <si>
    <t>Realizacja wskazanych zadań i programów:
1) Dyskusyjne Kluby Książki - 30.000,-zł,
2) „Wykonywanie zadań powiatowej biblioteki publicznej dla Powiatu Rzeszowskiego” – 78.000,-zł.</t>
  </si>
  <si>
    <t>Realizacja wskazanych zadań i programów: 
1) XXIII Międzynarodowy Plener Artystyczny Bolestraszyce 2020 - 13.000,-zł,
2) IX Międzynarodowy Festiwal Derenia – 15.000,-zł,
3) Ochrona różnorodności biologicznej w warunkach in situ i ex situ na terenie ogrodu botanicznego w Arboretum w Bolestraszycach - 92.987,-zł.</t>
  </si>
  <si>
    <t>Realizacja zadań inwestycyjnych pn.: 
1) Modernizacja energetyczna budynków Klinicznego Szpitala Wojewódzkiego Nr 1 im. Fryderyka Chopina w Rzeszowie”  - 686.241,-zł,
2) Profilaktyka, diagnostyka i kompleksowe leczenie chorób układu oddechowego z chirurgicznym i chemicznym leczeniem nowotworów klatki piersiowej na oddziałach klinicznych oraz rehabilitacją - 1.674.360,-zł,
3) Zakup aparatury i sprzętu medycznego (m.in. stołów operacyjnych,  
mobilnych aparatów RTG, aparatury endoskopowej do diagnostyki przewodu pokarmowego) - 1.702.717,-zł.</t>
  </si>
  <si>
    <t>Realizacja zadań inwestycyjnych pn.: 
1) Modernizacja energetyczna Wojewódzkiego Szpitala Podkarpackiego im. Jana Pawła II w Krośnie - 4.881.780,-zł,
2) Przebudowa wejść ewakuacyjnych oraz drogi pożarowej wraz z placem manewrowym ppoż. Przy budynku Oddziału Paliatywnego przy ul. Grodzkiej - 586.800,-zł,
3) Zakup aparatury i sprzętu medycznego (m.in. autoklawu parowego z wytwornicą własną  600L, aparatu RTG Telekomando z tomosyntezą) - 2.053.800,-zł.</t>
  </si>
  <si>
    <t>Realizacja zadania inwestycyjnego pn.: 
1) Zakup aparatury i sprzętu medycznego ( m.in. okulistycznego optycznego tomografu  wraz z wyposażeniem, kardiomonitorów i respiratorów ).</t>
  </si>
  <si>
    <t xml:space="preserve"> Plan wydatków budżetu Województwa Podkarpackiego na 2020r. -  
na zadania realizowane w ramach programów finansowanych z udziałem środków,
o których mowa w art. 5 ust. 1 pkt 2 i 3, ustawy o finansach publicznych 
(wg działów, rozdziałów, paragrafów i rodzajów wydatków)</t>
  </si>
  <si>
    <t>Jednostka realizująca / Nazwa zadania / Program</t>
  </si>
  <si>
    <t>Kwota ogółem w 2020r.</t>
  </si>
  <si>
    <t>budżet województwa</t>
  </si>
  <si>
    <t>środki UE</t>
  </si>
  <si>
    <t>budżet państwa</t>
  </si>
  <si>
    <t>inne</t>
  </si>
  <si>
    <t>6.</t>
  </si>
  <si>
    <t>10.</t>
  </si>
  <si>
    <t>I</t>
  </si>
  <si>
    <t>URZĄD MARSZAŁKOWSKI WOJEWÓDZTWA PODKARPACKIEGO W RZESZOWIE</t>
  </si>
  <si>
    <t>1</t>
  </si>
  <si>
    <r>
      <t xml:space="preserve">Dotacja celowa na rzecz beneficjentów osi priorytetowych I-VI RPO WP na lata 2014-2020 realizujących projekty o charakterze rewitalizacyjnym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</si>
  <si>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t>OGÓŁEM
z tego:</t>
  </si>
  <si>
    <t>wydatki majątkowe</t>
  </si>
  <si>
    <t>2</t>
  </si>
  <si>
    <r>
      <t xml:space="preserve">Dotacja celowa na rzecz beneficjentów osi priorytetowych I-VI RPO WP na lata 2014-2020 realizujących projekty o charakterze innym niż rewitalizacyjny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</si>
  <si>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t>3</t>
  </si>
  <si>
    <r>
      <rPr>
        <i/>
        <sz val="9"/>
        <rFont val="Arial"/>
        <family val="2"/>
        <charset val="238"/>
      </rPr>
      <t>Wsparcie procesu wdrażania RPO WP 2014-2020 poprzez działania o charakterze edukacyjno-promocyjnym w 2020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Promocji, Turystyki i Współpracy Gospodarczej)</t>
    </r>
  </si>
  <si>
    <t>wydatki bieżące,
w tym:</t>
  </si>
  <si>
    <t>wynagrodzenia wraz z pochodnymi</t>
  </si>
  <si>
    <t>pozostałe wydatki bieżące</t>
  </si>
  <si>
    <t>4</t>
  </si>
  <si>
    <r>
      <t>Wsparcie procesu ewaluacji RPO WP 2014-2020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</si>
  <si>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5</t>
  </si>
  <si>
    <r>
      <rPr>
        <i/>
        <sz val="9"/>
        <rFont val="Arial"/>
        <family val="2"/>
        <charset val="238"/>
      </rPr>
      <t>Zatrudnienie pracowników UMWP w Rzeszowie zaangażowanych w realizację RPO WP w 2020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Organizacyjno- Prawny)</t>
    </r>
  </si>
  <si>
    <t>6</t>
  </si>
  <si>
    <r>
      <t xml:space="preserve">Wsparcie UMWP w Rzeszowie w związku z realizacją RPO WP w 2020 roku
</t>
    </r>
    <r>
      <rPr>
        <sz val="9"/>
        <rFont val="Arial"/>
        <family val="2"/>
        <charset val="238"/>
      </rPr>
      <t>Pomoc Techniczna - Regionalny Program Operacyjny Województwa Podkarpackiego na lata 2014-2020
(Departament Organizacyjno- Prawny)</t>
    </r>
  </si>
  <si>
    <t>7</t>
  </si>
  <si>
    <r>
      <t xml:space="preserve">Dostawa, wdrożenie i utrzymanie Lokalnego Systemu Informatycznego służącego do obsługi RPO WP na lata 2014-2020 na potrzeby Urzędu Marszałkowskiego Województwa Podkarpackiego w Rzeszowie
</t>
    </r>
    <r>
      <rPr>
        <sz val="9"/>
        <rFont val="Arial"/>
        <family val="2"/>
        <charset val="238"/>
      </rPr>
      <t>Pomoc Techniczna - Regionalny Program Operacyjny Województwa Podkarpackiego na lata 2014-2020
(Departament Organizacyjno - Prawny)</t>
    </r>
  </si>
  <si>
    <t>8</t>
  </si>
  <si>
    <r>
      <t xml:space="preserve">Wsparcie działalności Regionalnego Obserwatorium Terytorialnego w procesie dostarczania niezbędnej wiedzy do zarządzania rozwojem regionu RPO WP 2014-2020
</t>
    </r>
    <r>
      <rPr>
        <sz val="9"/>
        <rFont val="Arial"/>
        <family val="2"/>
        <charset val="238"/>
      </rPr>
      <t>Pomoc Techniczna - Regionalny Program Operacyjny Województwa Podkarpackiego na lata 2014-2020
(Departament Rozwoju Regionalnego)</t>
    </r>
  </si>
  <si>
    <t>9</t>
  </si>
  <si>
    <r>
      <t xml:space="preserve">Podkarpacka Platforma Wsparcia Biznesu
</t>
    </r>
    <r>
      <rPr>
        <sz val="9"/>
        <rFont val="Arial"/>
        <family val="2"/>
        <charset val="238"/>
      </rPr>
      <t>Regionalny Program Operacyjny Województwa Podkarpackiego na lata 2014-2020
(Departament Gospodarki Regionalnej)</t>
    </r>
  </si>
  <si>
    <t>dotacje dla partnerów</t>
  </si>
  <si>
    <t>dotacje dla odbiorców ostatecznych</t>
  </si>
  <si>
    <t>10</t>
  </si>
  <si>
    <r>
      <t xml:space="preserve">Podkarpacki System Informacji Przestrzennej (PSIP)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</si>
  <si>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11</t>
  </si>
  <si>
    <r>
      <t xml:space="preserve">Inteligentne specjalizacje - narzędzie wzrostu innowacyjności i konkurencyjności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Rozwoju Regionalnego)</t>
    </r>
  </si>
  <si>
    <t>12</t>
  </si>
  <si>
    <r>
      <t xml:space="preserve">Podkarpacki System e-Administracji Publicznej - 2 (PSeAP - 2)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</si>
  <si>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13</t>
  </si>
  <si>
    <r>
      <t xml:space="preserve">Promocja Gospodarcza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Promocji, Turystyki i Współpracy Gospodarczej)</t>
    </r>
  </si>
  <si>
    <r>
      <t xml:space="preserve">Wsparcie stypendialne uczniów szkół gimnazjalnych i ponadgimnazjalnych prowadzących kształcenie ogólne - rok szkolny 2020/2021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Edukacji, Nauki i Sportu)</t>
    </r>
  </si>
  <si>
    <r>
      <t xml:space="preserve">Wsparcie stypendialne uczniów ponadgimnazjalnych szkół zawodowych - rok szkolny 2020/2021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Edukacji, Nauki i Sportu)</t>
    </r>
  </si>
  <si>
    <t>14</t>
  </si>
  <si>
    <r>
      <t xml:space="preserve">Wsparcie stypendialne dla uczniów zdolnych - szkolnictwo ogólne - rok szkolny 2019/2020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</si>
  <si>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15</t>
  </si>
  <si>
    <r>
      <t xml:space="preserve">Wsparcie stypendialne dla uczniów zdolnych - szkolnictwo zawodowe - rok szkolny 2019/2020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</si>
  <si>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16</t>
  </si>
  <si>
    <r>
      <t xml:space="preserve">Utworzenie podkarpackiego centrum nauki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Kultury i Ochrony Dziedzictwa Narodowego - Wojewódzki Dom Kultury w Rzeszowie)</t>
    </r>
  </si>
  <si>
    <t>17</t>
  </si>
  <si>
    <r>
      <t xml:space="preserve">Portal Muzeum Dziedzictwa Kresów Dawnej Rzeczypospolitej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Kultury i Ochrony Dziedzictwa Narodowego)</t>
    </r>
  </si>
  <si>
    <t>18</t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</si>
  <si>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</si>
  <si>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t>19</t>
  </si>
  <si>
    <r>
      <t xml:space="preserve">Pomoc techniczna
</t>
    </r>
    <r>
      <rPr>
        <sz val="9"/>
        <rFont val="Arial"/>
        <family val="2"/>
        <charset val="238"/>
      </rPr>
      <t>Program Operacyjny Rybactwo i Morze na lata 2014-2020
(Departament Programów Rozwoju Obszarów Wiejskich)</t>
    </r>
  </si>
  <si>
    <t>20</t>
  </si>
  <si>
    <r>
      <t xml:space="preserve">Budowa Podmiejskiej Kolei Aglomeracyjnej - PKA: zakup taboru
</t>
    </r>
    <r>
      <rPr>
        <sz val="9"/>
        <rFont val="Arial"/>
        <family val="2"/>
        <charset val="238"/>
      </rPr>
      <t>Program Operacyjny Infrastruktura i Środowisko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</si>
  <si>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21</t>
  </si>
  <si>
    <r>
      <t xml:space="preserve">Budowa Podmiejskiej Kolei Aglomeracyjnej - PKA: budowa zaplecza technicznego
</t>
    </r>
    <r>
      <rPr>
        <sz val="9"/>
        <rFont val="Arial"/>
        <family val="2"/>
        <charset val="238"/>
      </rPr>
      <t>Program Operacyjny Infrastruktura i Środowisko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</si>
  <si>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22</t>
  </si>
  <si>
    <r>
      <t xml:space="preserve">Zachowanie i promocja dziedzictwa przyrodniczego i kulturowego poprzez Zielone Szlaki
</t>
    </r>
    <r>
      <rPr>
        <sz val="9"/>
        <rFont val="Arial"/>
        <family val="2"/>
        <charset val="238"/>
      </rPr>
      <t>Program Interreg Europa na lata 2014-2020
(Departament Gospodarki Regionalnej)</t>
    </r>
  </si>
  <si>
    <t>23</t>
  </si>
  <si>
    <r>
      <t xml:space="preserve">CRinMA - Cultural Resources in the Mountain Areas
</t>
    </r>
    <r>
      <rPr>
        <sz val="9"/>
        <rFont val="Arial"/>
        <family val="2"/>
        <charset val="238"/>
      </rPr>
      <t>Program Interreg Europa na lata 2014-2020
(Departament Kultury i Ochrony Dziedzictwa Narodowego)</t>
    </r>
  </si>
  <si>
    <t>24</t>
  </si>
  <si>
    <r>
      <t xml:space="preserve">Góry bez granic - integracja sieci szlaków w transgraniczny produkt turystyczny
</t>
    </r>
    <r>
      <rPr>
        <sz val="9"/>
        <rFont val="Arial"/>
        <family val="2"/>
        <charset val="238"/>
      </rPr>
      <t>Program Współpracy Transgranicznej Interreg V-A Polska - Słowacja na lata 2014-2020
(Departament Gospodarki Regionalnej)</t>
    </r>
  </si>
  <si>
    <t>25</t>
  </si>
  <si>
    <r>
      <t xml:space="preserve">Wspólnie wzbogacamy polsko-słowackie pogranicze
Pomoc techniczna - </t>
    </r>
    <r>
      <rPr>
        <sz val="9"/>
        <rFont val="Arial"/>
        <family val="2"/>
        <charset val="238"/>
      </rPr>
      <t>Program Współpracy Transgranicznej Interreg V-A Polska - Słowacja na lata 2014-2020
(Departament Gospodarki Regionalnej)</t>
    </r>
  </si>
  <si>
    <t>26</t>
  </si>
  <si>
    <r>
      <t xml:space="preserve">Funkcjonowanie Oddziału Programu Współpracy Transgranicznej EIS Polska - Białoruś - Ukraina 2014-2020 w Rzeszowie
</t>
    </r>
    <r>
      <rPr>
        <sz val="9"/>
        <rFont val="Arial"/>
        <family val="2"/>
        <charset val="238"/>
      </rPr>
      <t>Program Współpracy Transgranicznej Polska- Białoruś - Ukraina na lata 2014-2020
(Biuro "Oddział Programu Współpracy Transgranicznej POLSKA-BIAŁORUŚ-UKRAINA 2014-2020 w Rzeszowie")</t>
    </r>
  </si>
  <si>
    <t>27</t>
  </si>
  <si>
    <r>
      <t xml:space="preserve">Świat karpackich rozet - działania na rzecz zachowania kulturowej unikalności Karpat
</t>
    </r>
    <r>
      <rPr>
        <sz val="9"/>
        <rFont val="Arial"/>
        <family val="2"/>
        <charset val="238"/>
      </rPr>
      <t>Program Współpracy Transgranicznej Polska - Białoruś - Ukraina na lata 2014-2020
(Departament Gospodarki Regionalnej)</t>
    </r>
  </si>
  <si>
    <t>28</t>
  </si>
  <si>
    <r>
      <t xml:space="preserve">Naftowe dziedzictwo działalności Ignacego Łukasiewicza
</t>
    </r>
    <r>
      <rPr>
        <sz val="9"/>
        <rFont val="Arial"/>
        <family val="2"/>
        <charset val="238"/>
      </rPr>
      <t>Program Współpracy Transgranicznej Polska - Białoruś - Ukraina na lata 2014-2020
(Departament Gospodarki Regionalnej)</t>
    </r>
  </si>
  <si>
    <t>29</t>
  </si>
  <si>
    <r>
      <t>Zintegrowany i uspołeczniony model planowania przestrzennego poprzez opracowanie Strategii Przestrzennej Rzeszowskiego Obszaru Funkcjonalnego
Program Operacyjny Wiedza Edukacja Rozwój na lata 2014-2020</t>
    </r>
    <r>
      <rPr>
        <sz val="9"/>
        <rFont val="Arial"/>
        <family val="2"/>
        <charset val="238"/>
      </rPr>
      <t xml:space="preserve">
(Departament Rozwoju Regionalnego)</t>
    </r>
  </si>
  <si>
    <t>30</t>
  </si>
  <si>
    <r>
      <t xml:space="preserve">Wysokie standardy obsługi inwestora w samorządach województwa podkarpackiego
</t>
    </r>
    <r>
      <rPr>
        <sz val="9"/>
        <rFont val="Arial"/>
        <family val="2"/>
        <charset val="238"/>
      </rPr>
      <t>Program Operacyjny Wiedza Edukacja Rozwój na lata 2014-2020
(Departament Rozwoju Regionalnego)</t>
    </r>
  </si>
  <si>
    <t>31</t>
  </si>
  <si>
    <r>
      <t xml:space="preserve">Punkty Informacyjne Funduszy Europejskich
</t>
    </r>
    <r>
      <rPr>
        <sz val="9"/>
        <rFont val="Arial"/>
        <family val="2"/>
        <charset val="238"/>
      </rPr>
      <t>Program Operacyjny Pomoc Techniczna na lata 2014-2020
(Biuro Informacji o Funduszach Europejskich)</t>
    </r>
  </si>
  <si>
    <t>32</t>
  </si>
  <si>
    <r>
      <t xml:space="preserve">Zadanie polegające na współpracy z Urzędami Marszałkowskimi w zakresie wzmacniania zdolności gmin do programowania i wdrażania działań rewitalizacyjnych
</t>
    </r>
    <r>
      <rPr>
        <sz val="9"/>
        <rFont val="Arial"/>
        <family val="2"/>
        <charset val="238"/>
      </rPr>
      <t>Program Operacyjny Pomoc Techniczna na lata 2014-2020
(Departament Gospodarki Regionalnej)</t>
    </r>
  </si>
  <si>
    <t>dotacje dla beneficjentów</t>
  </si>
  <si>
    <t>33</t>
  </si>
  <si>
    <r>
      <t>Szlak Karpacki - odkrywanie, promocja i ochrona bogactwa kulturowego i przyrodniczego regionu Karpat
Fundusze Norweskie i EOG</t>
    </r>
    <r>
      <rPr>
        <sz val="9"/>
        <rFont val="Arial"/>
        <family val="2"/>
        <charset val="238"/>
      </rPr>
      <t xml:space="preserve">
(Departament Gospodarki Regionalnej)</t>
    </r>
  </si>
  <si>
    <t>II</t>
  </si>
  <si>
    <t>PODKARPACKI ZARZĄD DRÓG WOJEWÓDZKICH W RZESZOWIE</t>
  </si>
  <si>
    <r>
      <t xml:space="preserve">Budowa drogi wojewódzkiej nr 886 na odcinku pomiędzy planowaną obwodnicą miasta Sanoka a drogą krajową nr 28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</si>
  <si>
    <r>
      <t xml:space="preserve">Budowa obwodnicy m. Dynów w ciągu drogi wojewódzkiej nr 835 Lublin–Przeworsk–Grabownica Starzeńska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</si>
  <si>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881 na odcinku Kańczuga - Pruchnik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</si>
  <si>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Budowa/przebudowa drogi wojewódzkiej nr 835 Lublin-Przeworsk-Grabownica Starzeńska na odcinku od DK 4 do miasta Kańczuga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</si>
  <si>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nowego odcinka drogi wojewódzkiej nr 984 od m. Piątkowiec przez m. Rzędzianowice do ul. Sienkiewicza w Mielcu wraz z budową mostu na rzece Wisłoka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</si>
  <si>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drogi wojewódzkiej Nr 987 na odcinku od DK 94 przez ul. Księżomost do DP 1334 R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</si>
  <si>
    <r>
      <t xml:space="preserve">Budowa obwodnicy m. Radomyśl Wielki w ciągu DW 984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</si>
  <si>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865 Jarosław-Bełżec na odcinku od m. Zapałów do m. Oleszyce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</si>
  <si>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DW 895 na odcinku Solina-Myczków i DW 894 na odcinku Hoczew-Polańczyk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</si>
  <si>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nowego odcinka drogi wojewódzkiej nr 992 w miejscowości Jasło
</t>
    </r>
    <r>
      <rPr>
        <sz val="9"/>
        <rFont val="Arial"/>
        <family val="2"/>
        <charset val="238"/>
      </rPr>
      <t>Program Współpracy Transgranicznej Interreg V-A Polska - Słowacja na lata 2014-2020</t>
    </r>
  </si>
  <si>
    <r>
      <t xml:space="preserve">Rozbudowa drogi wojewódzkiej nr 885 Przemyśl - Hermanowice - Granica Państwa
</t>
    </r>
    <r>
      <rPr>
        <sz val="9"/>
        <rFont val="Arial"/>
        <family val="2"/>
        <charset val="238"/>
      </rPr>
      <t>Program Współpracy Transgranicznej Polska - Białoruś - Ukraina na lata 2014-2020</t>
    </r>
  </si>
  <si>
    <t>III</t>
  </si>
  <si>
    <t>ZESPÓŁ KARPACKICH PARKÓW KRAJOBRAZOWYCH W KROŚNIE</t>
  </si>
  <si>
    <r>
      <t xml:space="preserve">Opracowanie dokumentacji na potrzeby planów ochrony dla pięciu Parków Krajobrazowych: Jaśliskiego, Ciśniańsko - Wetlińskiego, Doliny Sanu, Czarnorzecko - Strzyżowskiego i Pasma Brzanki
</t>
    </r>
    <r>
      <rPr>
        <sz val="9"/>
        <rFont val="Arial"/>
        <family val="2"/>
        <charset val="238"/>
      </rPr>
      <t>Regionalny Program Operacyjny Województwa Podkarpackiego na lata 2014-2020</t>
    </r>
  </si>
  <si>
    <t>IV</t>
  </si>
  <si>
    <t>ZESPÓŁ PARKÓW KRAJOBRAZOWYCH W PRZEMYŚLU</t>
  </si>
  <si>
    <r>
      <t xml:space="preserve">Opracowanie dokumentacji na potrzeby planów ochrony dla pięciu Parków Krajobrazowych: Pogórza Przemyskiego, Gór Słonnych, Południoworoztoczańskiego, Puszczy Solskiej oraz Lasów Janowskich
</t>
    </r>
    <r>
      <rPr>
        <sz val="9"/>
        <rFont val="Arial"/>
        <family val="2"/>
        <charset val="238"/>
      </rPr>
      <t>Regionalny Program Operacyjny Województwa Podkarpackiego na lata 2014-2020</t>
    </r>
  </si>
  <si>
    <t>V</t>
  </si>
  <si>
    <t>WOJEWÓDZKI OŚRODEK DOKUMENTACJI GEODEZYJNEJ I KARTOGRAFICZNEJ W RZESZOWIE</t>
  </si>
  <si>
    <r>
      <t xml:space="preserve">Podkarpacki System Informacji Przestrzennej (PSIP)
</t>
    </r>
    <r>
      <rPr>
        <sz val="9"/>
        <rFont val="Arial"/>
        <family val="2"/>
        <charset val="238"/>
      </rPr>
      <t>Regionalny Program Operacyjny Województwa Podkarpackiego na lata 2014-2020</t>
    </r>
  </si>
  <si>
    <t>VI</t>
  </si>
  <si>
    <t>PODKARPACKIE BIURO PLANOWANIA PRZESTRZENNEGO W RZESZOWIE</t>
  </si>
  <si>
    <r>
      <t xml:space="preserve">Zintegrowany i uspołeczniony model planowania przestrzennego poprzez opracowanie Strategii Przestrzennej Rzeszowskiego Obszaru Funkcjonalnego
</t>
    </r>
    <r>
      <rPr>
        <sz val="9"/>
        <rFont val="Arial"/>
        <family val="2"/>
        <charset val="238"/>
      </rPr>
      <t>Program Operacyjny Wiedza Edukacja Rozwój na lata 2014-2020</t>
    </r>
  </si>
  <si>
    <t>VII</t>
  </si>
  <si>
    <t>WOJEWÓDZKI URZĄD PRACY W RZESZOWIE</t>
  </si>
  <si>
    <r>
      <t xml:space="preserve">Dotacja celowa dla beneficjentów realizujących projekty w ramach osi I
</t>
    </r>
    <r>
      <rPr>
        <sz val="9"/>
        <rFont val="Arial"/>
        <family val="2"/>
        <charset val="238"/>
      </rPr>
      <t>Program Operacyjny Wiedza Edukacja Rozwój na lata 2014-2020</t>
    </r>
  </si>
  <si>
    <r>
      <t xml:space="preserve">Dotacja celowa dla beneficjentów realizujących projekty w ramach osi VII - IX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</si>
  <si>
    <r>
      <t xml:space="preserve">Pomoc techniczna
</t>
    </r>
    <r>
      <rPr>
        <sz val="9"/>
        <rFont val="Arial"/>
        <family val="2"/>
        <charset val="238"/>
      </rPr>
      <t>Program Operacyjny Wiedza, Edukacja, Rozwój na lata 2014-2020</t>
    </r>
  </si>
  <si>
    <r>
      <t xml:space="preserve">Pomoc techniczna RPO WP na lata 2014-2020 dla Wojewódzkiego Urzędu Pracy w Rzeszowie na rok 2020
</t>
    </r>
    <r>
      <rPr>
        <sz val="9"/>
        <rFont val="Arial"/>
        <family val="2"/>
        <charset val="238"/>
      </rPr>
      <t>Pomoc Techniczna - Regionalny Program Operacyjny Województwa Podkarpackiego na lata 2014-2020</t>
    </r>
  </si>
  <si>
    <t>VIII</t>
  </si>
  <si>
    <t>REGIONALNY OŚRODEK POLITYKI SPOŁECZNEJ W RZESZOWIE</t>
  </si>
  <si>
    <r>
      <t xml:space="preserve">Koordynacja sektora ekonomii społecznej w województwie podkarpackim w latach 2018-2019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</si>
  <si>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Koordynacja sektora ekonomii społecznej w województwie podkarpackim w latach 2020-2022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</si>
  <si>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Domy z Serc - wsparcie pieczy zastępczej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</si>
  <si>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Standardy w zakresie mieszkalnictwa wspomaganego dla osób chorujących psychicznie po wielokrotnych pobytach w szpitalu psychiatrycznym
</t>
    </r>
    <r>
      <rPr>
        <sz val="9"/>
        <rFont val="Arial"/>
        <family val="2"/>
        <charset val="238"/>
      </rPr>
      <t>Program Operacyjny Wiedza Edukacja Rozwój na lata 2014-2020</t>
    </r>
  </si>
  <si>
    <r>
      <t xml:space="preserve">Liderzy kooperacji
</t>
    </r>
    <r>
      <rPr>
        <sz val="9"/>
        <rFont val="Arial"/>
        <family val="2"/>
        <charset val="238"/>
      </rPr>
      <t>Program Operacyjny Wiedza Edukacja Rozwój na lata 2014-2020</t>
    </r>
  </si>
  <si>
    <r>
      <t xml:space="preserve">CE 985 „SENTINEL - Rozwój i umacnianie pozycji przedsiębiorstw społecznych w celu maksymalnego zwiększenia ich wpływu na sektor ekonomiczny i społeczny w państwach Europy Środkowej"
</t>
    </r>
    <r>
      <rPr>
        <sz val="9"/>
        <rFont val="Arial"/>
        <family val="2"/>
        <charset val="238"/>
      </rPr>
      <t>Program Interreg Europa Środkowa na lata 2014-2020</t>
    </r>
  </si>
  <si>
    <t>IX</t>
  </si>
  <si>
    <t>PODKARPACKIE CENTRUM EDUKACJI NAUCZYCIELI W RZESZOWIE</t>
  </si>
  <si>
    <r>
      <t xml:space="preserve">Razem odkryjmy świat programowania - szkolenia dla nauczycieli i uczniów z podregionu krośnieńskiego
</t>
    </r>
    <r>
      <rPr>
        <sz val="9"/>
        <color rgb="FFFF0000"/>
        <rFont val="Arial"/>
        <family val="2"/>
        <charset val="238"/>
      </rPr>
      <t>Program Operacyjny Polska Cyfrowa na lata 2014-2020</t>
    </r>
  </si>
  <si>
    <r>
      <t xml:space="preserve">Rozwijanie kompetencji kadry dydaktycznej w zakresie doradztwa edukacyjno-zawodowego (makroregion IV)
</t>
    </r>
    <r>
      <rPr>
        <sz val="9"/>
        <rFont val="Arial"/>
        <family val="2"/>
        <charset val="238"/>
      </rPr>
      <t>Program Operacyjny Wiedza Edukacja Rozwój na lata 2014-2020</t>
    </r>
  </si>
  <si>
    <r>
      <t xml:space="preserve">English4You
</t>
    </r>
    <r>
      <rPr>
        <sz val="9"/>
        <rFont val="Arial"/>
        <family val="2"/>
        <charset val="238"/>
      </rPr>
      <t>Regionalny Program Operacyjny Województwa Podkarpackiego na lata 2014-2020</t>
    </r>
  </si>
  <si>
    <t>RAZEM</t>
  </si>
  <si>
    <t>PODZIAŁ DOTACJI CELOWYCH NA REALIZACJĘ 
PROGRAMU OPERACYJNEGO WIEDZA, EDUKACJA, ROZWÓJ NA LATA 2014-2020</t>
  </si>
  <si>
    <t>Kwota ogółem</t>
  </si>
  <si>
    <t>dotacja dla partnerów projektu UMWP w Rzeszowie pn. "Zintegrowany i uspołeczniony model planowania przestrzennego poprzez opracowanie Strategii Przestrzennej Rzeszowskiego Obszaru Funkcjonalnego"</t>
  </si>
  <si>
    <t>dotacja dla partnerów projektu ROPS w Rzeszowie pn. "Liderzy kooperacji"</t>
  </si>
  <si>
    <t>dotacja dla partnera projektu UMWP w Rzeszowie pn. "Wysokie standardy obsługi inwestora w samorządach województwa podkarpackiego"</t>
  </si>
  <si>
    <t>dotacja celowa dla beneficjentów realizujących projekty w ramach POWER na lata 2014-2020</t>
  </si>
  <si>
    <t>PODZIAŁ DOTACJI CELOWYCH NA REALIZACJĘ 
REGIONALNEGO PROGRAMU OPERACYJNEGO WOJEWÓDZTWA PODKARPACKIEGO NA LATA 2014-2020</t>
  </si>
  <si>
    <t>dotacja celowa dla beneficjentów realizujących projekty w ramach RPO WP na lata 2014-2020</t>
  </si>
  <si>
    <t>dotacja dla partnerów projektu UMWP w Rzeszowie pn. "Podkarpacki System Informacji Przestrzennej (PSIP)"</t>
  </si>
  <si>
    <t>dotacje dla partnerów projektu ROPS w Rzeszowie pn. "Domy z serc - wsparcie pieczy zastępczej"</t>
  </si>
  <si>
    <t>dotacja dla Wojewódzkiego Domu Kultury w Rzeszowie na realizację projektu pn. "Utworzenie podkarpackiego centrum nauki"</t>
  </si>
  <si>
    <t>dotacja dla partnera i odbiorców ostatecznych projektu UMWP w Rzeszowie pn. "Podkarpacka Platforma Wsparcia Biznesu"</t>
  </si>
  <si>
    <t>dotacja dla partnera projektu UMWP w Rzeszowie pn. "Szlak Karpacki - odkrywanie, promocja i ochrona bogactwa kulturowego i przyrodniczego regionu Karpat"</t>
  </si>
  <si>
    <t>Dotacje dla jednostek spoza sektora finansów publicznych</t>
  </si>
  <si>
    <t>PODZIAŁ DOTACJI CELOWYCH NA REALIZACJĘ 
FUNDUSZY NORWESKICH I EOG</t>
  </si>
  <si>
    <t>dotacja dla partnera projektu UMWP w Rzeszowie pn. "Naftowe dziedzictwo działalności Ignacego Łukasiewicza"</t>
  </si>
  <si>
    <t>PODZIAŁ DOTACJI CELOWYCH NA REALIZACJĘ 
Programu Współpracy Transgranicznej Polska - Białoruś - Ukraina na lata 2014-2020</t>
  </si>
  <si>
    <t>dotacja dla partnera projektu PZDW w Rzeszowie pn. "Budowa nowego odcinka drogi wojewódzkiej nr 992 w miejscowości Jasło"</t>
  </si>
  <si>
    <t>PODZIAŁ DOTACJI CELOWYCH NA REALIZACJĘ 
Programu Współpracy Transgranicznej Interreg V-A Polska - Słowacja na lata 2014-2020</t>
  </si>
  <si>
    <t>Realizacja zadań inwestycyjnych pn.: 
1) Wykonanie modernizacji Oddziału Anestezjologii i Intensywnej Terapii - 1.274.260,-zł,
2) Zakup aparatury i sprzętu medycznego (m.in. stołów operacyjnych, steryizatora parowego) - 2.539.698,-zł.</t>
  </si>
  <si>
    <t>Dotacje celowe z budżetu jednostki samorządu terytorialnego, udzielone w trybie art. 221 ustawy na dofinansowanie inwestycji w ramach zadań zleconych do realizacji organizacjom prowadzącym działalność pożytku publicznego</t>
  </si>
  <si>
    <t xml:space="preserve">na zadania i cele publiczne z zakresu ratownictwa wodnego </t>
  </si>
  <si>
    <t>Gospodarka gruntami 
i nieruchomościami</t>
  </si>
  <si>
    <t>Gmina Komańcza</t>
  </si>
  <si>
    <t>"Utwardzenie terenu na działce gminnej w miejscowości Komańcza"</t>
  </si>
  <si>
    <t>a) „Rozbudowa łącznika drogi ekspresowej S-19 – drogi powiatowej na odcinku od węzła Rzeszów–Południe do drogi krajowej nr 19 – etap I” - 600.000,-zł,
b) „Rozbudowa łącznika autostrady A4 na odcinku od granicy miasta Rzeszowa do węzła Rzeszów – Północ – etap I” - 555.000,-zł</t>
  </si>
  <si>
    <t>Tabela Nr 1 do Uchwały Nr XVII/268/19
Sejmiku Województwa Podkarpackiego w Rzeszowie z dnia 23.12.2019 r.</t>
  </si>
  <si>
    <t>Tabela Nr 2 do Uchwały Nr XVII/268/19 Sejmiku Województwa Podkarpackiego w Rzeszowie z dnia 23.12.2019r.</t>
  </si>
  <si>
    <t>Tabela Nr 3 do Uchwały Nr XVII/268/19
Sejmiku Województwa Podkarpackiego 
w Rzeszowie z dnia 23.12.2019r.</t>
  </si>
  <si>
    <t>Załącznik Nr 1
do  Uchwały Nr XVII/268/19
Sejmiku Województwa Podkarpackiego 
 w Rzeszowie  z dnia 23.12.2019 r.</t>
  </si>
  <si>
    <t>Załącznik Nr 2
do  Uchwały Nr  XVII/268/19
Sejmiku Województwa Podkarpackiego 
 w Rzeszowie  z dnia 23.12.2019 r.</t>
  </si>
  <si>
    <t>Załącznik  Nr 3
do  Uchwały Nr XVII/268/19
Sejmiku Województwa Podkarpackiego 
 w Rzeszowie  z dnia 23.12.2019 r.</t>
  </si>
  <si>
    <t>Załącznik Nr 4
do  Uchwały Nr  XVII/268/19
Sejmiku Województwa Podkarpackiego 
 w Rzeszowie  z dnia 23.12.2019 r.</t>
  </si>
  <si>
    <t>Załącznik Nr 5
do  Uchwały Nr  XVII/268/19
Sejmiku Województwa Podkarpackiego 
 w Rzeszowie  z dnia 23.12.2019 r.</t>
  </si>
  <si>
    <t>Załącznik Nr 6
do  Uchwały Nr XVII/268/19
Sejmiku Województwa Podkarpackiego 
 w Rzeszowie  z dnia 23.12.2019 r.</t>
  </si>
  <si>
    <t>Załącznik Nr 7
do  Uchwały Nr  XVII/268/19
Sejmiku Województwa Podkarpackiego 
 w Rzeszowie  z dnia 23.12.2019r.</t>
  </si>
  <si>
    <t>Załącznik Nr 8
do  Uchwały Nr XVII/268/19
Sejmiku Województwa Podkarpackiego 
 w Rzeszowie  z dnia  23.12.2019 r.</t>
  </si>
  <si>
    <t>Załącznik Nr 9
do  Uchwały Nr XVII/268/19
Sejmiku Województwa Podkarpackiego 
 w Rzeszowie  z dnia  23.12.2019 r.</t>
  </si>
  <si>
    <t>Załącznik Nr 10
do  Uchwały Nr XVII/268/19
Sejmiku Województwa Podkarpackiego 
 w Rzeszowie  z dnia  23.12.2019 r.</t>
  </si>
  <si>
    <t>Załącznik Nr 11 
do  Uchwały Nr XVII/268/19 Sejmiku Województwa Podkarpackiego 
 w Rzeszowie  z dnia 23.12.2019 r.</t>
  </si>
  <si>
    <t>Załącznik Nr 12
do  Uchwały Nr XVII/268/19
Sejmiku Województwa Podkarpackiego 
 w Rzeszowie  z dnia 23.12.2019 r.</t>
  </si>
  <si>
    <t>Załącznik Nr 13
do  Uchwały XVII/268/19
Sejmiku Województwa Podkarpackiego 
 w Rzeszowie  z dnia 23.12.2019r.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</si>
</sst>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0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Times New Roman CE"/>
      <family val="1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Arial"/>
      <family val="2"/>
      <charset val="238"/>
    </font>
    <font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"/>
      <family val="2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sz val="11"/>
      <name val="Arial CE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name val="Arial"/>
      <family val="2"/>
      <charset val="238"/>
    </font>
    <font>
      <sz val="11"/>
      <name val="Czcionka tekstu podstawowego"/>
      <family val="2"/>
      <charset val="238"/>
    </font>
    <font>
      <sz val="10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  <font>
      <b/>
      <i/>
      <sz val="14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color theme="1"/>
      <name val="Arial CE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 CE"/>
      <charset val="238"/>
    </font>
    <font>
      <sz val="10"/>
      <color theme="1"/>
      <name val="Arial CE"/>
      <charset val="238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 CE"/>
      <charset val="238"/>
    </font>
    <font>
      <i/>
      <sz val="10"/>
      <color theme="1"/>
      <name val="Arial"/>
      <family val="2"/>
      <charset val="238"/>
    </font>
    <font>
      <b/>
      <sz val="11"/>
      <color theme="1"/>
      <name val="Arial CE"/>
      <charset val="238"/>
    </font>
    <font>
      <i/>
      <sz val="11"/>
      <color theme="1"/>
      <name val="Arial CE"/>
      <charset val="238"/>
    </font>
    <font>
      <sz val="10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rgb="FFFF0000"/>
      <name val="Times New Roman CE"/>
      <family val="1"/>
      <charset val="238"/>
    </font>
    <font>
      <b/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name val="Times New Roman CE"/>
      <family val="1"/>
      <charset val="238"/>
    </font>
    <font>
      <b/>
      <sz val="10"/>
      <color rgb="FFFF0000"/>
      <name val="Arial CE"/>
      <charset val="238"/>
    </font>
    <font>
      <b/>
      <i/>
      <sz val="10"/>
      <name val="Arial CE"/>
      <charset val="238"/>
    </font>
    <font>
      <i/>
      <sz val="10"/>
      <color rgb="FFFF0000"/>
      <name val="Arial CE"/>
      <charset val="238"/>
    </font>
    <font>
      <i/>
      <sz val="10"/>
      <name val="Arial CE"/>
      <charset val="238"/>
    </font>
    <font>
      <sz val="11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  <font>
      <b/>
      <sz val="11"/>
      <color rgb="FFFF0000"/>
      <name val="Arial CE"/>
      <charset val="238"/>
    </font>
    <font>
      <sz val="11"/>
      <color theme="1"/>
      <name val="Arial CE"/>
      <charset val="238"/>
    </font>
    <font>
      <b/>
      <i/>
      <sz val="11"/>
      <color theme="1"/>
      <name val="Arial CE"/>
      <charset val="238"/>
    </font>
    <font>
      <b/>
      <i/>
      <sz val="11"/>
      <color rgb="FFFF0000"/>
      <name val="Arial CE"/>
      <charset val="238"/>
    </font>
    <font>
      <b/>
      <sz val="12"/>
      <color indexed="8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9"/>
      <name val="Arial CE"/>
      <charset val="238"/>
    </font>
    <font>
      <b/>
      <sz val="8"/>
      <name val="Arial"/>
      <family val="2"/>
      <charset val="238"/>
    </font>
    <font>
      <b/>
      <sz val="8"/>
      <name val="Czcionka tekstu podstawowego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 CE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9"/>
      <name val="Arial CE"/>
      <charset val="238"/>
    </font>
    <font>
      <b/>
      <i/>
      <sz val="10"/>
      <color rgb="FFFF0000"/>
      <name val="Arial CE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5DF41"/>
        <bgColor indexed="64"/>
      </patternFill>
    </fill>
    <fill>
      <patternFill patternType="solid">
        <fgColor rgb="FFCCCC00"/>
        <bgColor indexed="64"/>
      </patternFill>
    </fill>
  </fills>
  <borders count="7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>
      <alignment vertical="top"/>
    </xf>
    <xf numFmtId="0" fontId="5" fillId="0" borderId="0"/>
    <xf numFmtId="0" fontId="2" fillId="0" borderId="0"/>
    <xf numFmtId="0" fontId="5" fillId="0" borderId="0"/>
    <xf numFmtId="0" fontId="1" fillId="0" borderId="0"/>
    <xf numFmtId="0" fontId="32" fillId="0" borderId="0"/>
  </cellStyleXfs>
  <cellXfs count="3544">
    <xf numFmtId="0" fontId="0" fillId="0" borderId="0" xfId="0"/>
    <xf numFmtId="0" fontId="5" fillId="0" borderId="0" xfId="1"/>
    <xf numFmtId="3" fontId="5" fillId="0" borderId="0" xfId="1" applyNumberFormat="1"/>
    <xf numFmtId="0" fontId="7" fillId="0" borderId="3" xfId="1" applyFont="1" applyBorder="1" applyAlignment="1">
      <alignment vertical="center" wrapText="1"/>
    </xf>
    <xf numFmtId="0" fontId="5" fillId="0" borderId="0" xfId="1" applyBorder="1"/>
    <xf numFmtId="0" fontId="8" fillId="0" borderId="0" xfId="1" applyFont="1" applyBorder="1" applyAlignment="1">
      <alignment horizontal="right" vertical="center" wrapText="1"/>
    </xf>
    <xf numFmtId="0" fontId="18" fillId="0" borderId="0" xfId="1" applyFont="1" applyBorder="1" applyAlignment="1">
      <alignment horizontal="center" vertical="center" wrapText="1"/>
    </xf>
    <xf numFmtId="4" fontId="5" fillId="0" borderId="0" xfId="1" applyNumberFormat="1"/>
    <xf numFmtId="3" fontId="16" fillId="2" borderId="4" xfId="1" applyNumberFormat="1" applyFont="1" applyFill="1" applyBorder="1" applyAlignment="1">
      <alignment vertical="center"/>
    </xf>
    <xf numFmtId="3" fontId="11" fillId="4" borderId="4" xfId="1" applyNumberFormat="1" applyFont="1" applyFill="1" applyBorder="1" applyAlignment="1">
      <alignment vertical="center"/>
    </xf>
    <xf numFmtId="0" fontId="7" fillId="0" borderId="26" xfId="1" applyFont="1" applyFill="1" applyBorder="1" applyAlignment="1">
      <alignment horizontal="left" vertical="center"/>
    </xf>
    <xf numFmtId="3" fontId="7" fillId="0" borderId="8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center" vertical="center"/>
    </xf>
    <xf numFmtId="3" fontId="16" fillId="2" borderId="20" xfId="1" applyNumberFormat="1" applyFont="1" applyFill="1" applyBorder="1" applyAlignment="1">
      <alignment horizontal="right" vertical="center"/>
    </xf>
    <xf numFmtId="0" fontId="16" fillId="2" borderId="4" xfId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vertical="center"/>
    </xf>
    <xf numFmtId="3" fontId="7" fillId="0" borderId="19" xfId="1" applyNumberFormat="1" applyFont="1" applyFill="1" applyBorder="1" applyAlignment="1">
      <alignment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7" fillId="0" borderId="26" xfId="1" applyFont="1" applyBorder="1" applyAlignment="1">
      <alignment vertical="center" wrapText="1"/>
    </xf>
    <xf numFmtId="3" fontId="7" fillId="0" borderId="21" xfId="4" applyNumberFormat="1" applyFont="1" applyFill="1" applyBorder="1" applyAlignment="1">
      <alignment vertical="center"/>
    </xf>
    <xf numFmtId="3" fontId="7" fillId="0" borderId="21" xfId="4" applyNumberFormat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0" fontId="12" fillId="0" borderId="18" xfId="1" applyFont="1" applyBorder="1" applyAlignment="1">
      <alignment horizontal="center" vertical="center"/>
    </xf>
    <xf numFmtId="0" fontId="12" fillId="4" borderId="13" xfId="1" applyFont="1" applyFill="1" applyBorder="1" applyAlignment="1">
      <alignment horizontal="center" vertical="center"/>
    </xf>
    <xf numFmtId="3" fontId="11" fillId="2" borderId="4" xfId="1" applyNumberFormat="1" applyFont="1" applyFill="1" applyBorder="1" applyAlignment="1">
      <alignment horizontal="center" vertical="center" wrapText="1"/>
    </xf>
    <xf numFmtId="0" fontId="7" fillId="0" borderId="0" xfId="1" applyFont="1"/>
    <xf numFmtId="3" fontId="11" fillId="3" borderId="4" xfId="1" applyNumberFormat="1" applyFont="1" applyFill="1" applyBorder="1" applyAlignment="1">
      <alignment horizontal="right" vertical="center"/>
    </xf>
    <xf numFmtId="0" fontId="22" fillId="3" borderId="4" xfId="1" applyFont="1" applyFill="1" applyBorder="1" applyAlignment="1">
      <alignment vertical="center"/>
    </xf>
    <xf numFmtId="49" fontId="11" fillId="3" borderId="4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20" fillId="0" borderId="4" xfId="1" applyFont="1" applyFill="1" applyBorder="1" applyAlignment="1">
      <alignment horizontal="left" vertical="center" wrapText="1"/>
    </xf>
    <xf numFmtId="3" fontId="20" fillId="0" borderId="4" xfId="1" applyNumberFormat="1" applyFont="1" applyFill="1" applyBorder="1" applyAlignment="1">
      <alignment horizontal="right" vertical="center"/>
    </xf>
    <xf numFmtId="49" fontId="20" fillId="0" borderId="4" xfId="1" applyNumberFormat="1" applyFont="1" applyFill="1" applyBorder="1" applyAlignment="1">
      <alignment horizontal="center" vertical="center"/>
    </xf>
    <xf numFmtId="49" fontId="11" fillId="0" borderId="4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5" fillId="0" borderId="0" xfId="1" applyFont="1" applyAlignment="1">
      <alignment wrapText="1"/>
    </xf>
    <xf numFmtId="0" fontId="22" fillId="2" borderId="12" xfId="1" applyFont="1" applyFill="1" applyBorder="1" applyAlignment="1">
      <alignment horizontal="center" vertical="center" wrapText="1"/>
    </xf>
    <xf numFmtId="3" fontId="11" fillId="2" borderId="9" xfId="1" applyNumberFormat="1" applyFont="1" applyFill="1" applyBorder="1" applyAlignment="1">
      <alignment horizontal="right" vertical="center"/>
    </xf>
    <xf numFmtId="3" fontId="11" fillId="2" borderId="4" xfId="1" applyNumberFormat="1" applyFont="1" applyFill="1" applyBorder="1" applyAlignment="1">
      <alignment horizontal="right" vertical="center"/>
    </xf>
    <xf numFmtId="49" fontId="11" fillId="2" borderId="4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top"/>
    </xf>
    <xf numFmtId="0" fontId="23" fillId="0" borderId="0" xfId="1" applyFont="1" applyAlignment="1">
      <alignment vertical="center"/>
    </xf>
    <xf numFmtId="3" fontId="23" fillId="0" borderId="0" xfId="1" applyNumberFormat="1" applyFont="1" applyBorder="1" applyAlignment="1">
      <alignment horizontal="right" vertical="center"/>
    </xf>
    <xf numFmtId="0" fontId="23" fillId="0" borderId="0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49" fontId="24" fillId="0" borderId="0" xfId="1" applyNumberFormat="1" applyFont="1" applyBorder="1" applyAlignment="1">
      <alignment horizontal="center" vertical="top"/>
    </xf>
    <xf numFmtId="49" fontId="23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right" wrapText="1"/>
    </xf>
    <xf numFmtId="0" fontId="6" fillId="0" borderId="0" xfId="2"/>
    <xf numFmtId="3" fontId="19" fillId="0" borderId="0" xfId="2" applyNumberFormat="1" applyFont="1" applyBorder="1"/>
    <xf numFmtId="0" fontId="19" fillId="0" borderId="0" xfId="11" applyFont="1" applyBorder="1" applyAlignment="1">
      <alignment wrapText="1"/>
    </xf>
    <xf numFmtId="0" fontId="19" fillId="0" borderId="0" xfId="2" applyFont="1" applyBorder="1" applyAlignment="1">
      <alignment horizontal="center"/>
    </xf>
    <xf numFmtId="3" fontId="27" fillId="0" borderId="0" xfId="2" applyNumberFormat="1" applyFont="1" applyBorder="1"/>
    <xf numFmtId="0" fontId="28" fillId="0" borderId="0" xfId="2" applyFont="1" applyBorder="1" applyAlignment="1">
      <alignment horizontal="center"/>
    </xf>
    <xf numFmtId="3" fontId="6" fillId="0" borderId="0" xfId="2" applyNumberFormat="1"/>
    <xf numFmtId="3" fontId="11" fillId="2" borderId="4" xfId="2" applyNumberFormat="1" applyFont="1" applyFill="1" applyBorder="1" applyAlignment="1">
      <alignment vertical="center"/>
    </xf>
    <xf numFmtId="0" fontId="7" fillId="0" borderId="3" xfId="11" applyFont="1" applyBorder="1"/>
    <xf numFmtId="0" fontId="7" fillId="0" borderId="2" xfId="11" applyFont="1" applyBorder="1"/>
    <xf numFmtId="0" fontId="7" fillId="0" borderId="26" xfId="11" applyFont="1" applyBorder="1"/>
    <xf numFmtId="0" fontId="29" fillId="0" borderId="0" xfId="2" applyFont="1"/>
    <xf numFmtId="3" fontId="29" fillId="0" borderId="0" xfId="2" applyNumberFormat="1" applyFont="1"/>
    <xf numFmtId="0" fontId="7" fillId="0" borderId="0" xfId="2" applyFont="1" applyBorder="1"/>
    <xf numFmtId="0" fontId="7" fillId="0" borderId="4" xfId="2" applyFont="1" applyFill="1" applyBorder="1" applyAlignment="1">
      <alignment horizontal="center"/>
    </xf>
    <xf numFmtId="0" fontId="7" fillId="0" borderId="2" xfId="11" applyFont="1" applyBorder="1" applyAlignment="1">
      <alignment wrapText="1"/>
    </xf>
    <xf numFmtId="3" fontId="6" fillId="0" borderId="0" xfId="2" applyNumberFormat="1" applyFont="1"/>
    <xf numFmtId="0" fontId="7" fillId="0" borderId="0" xfId="11" applyFont="1" applyFill="1" applyBorder="1" applyAlignment="1">
      <alignment wrapText="1"/>
    </xf>
    <xf numFmtId="3" fontId="12" fillId="4" borderId="12" xfId="2" applyNumberFormat="1" applyFont="1" applyFill="1" applyBorder="1" applyAlignment="1">
      <alignment horizontal="right"/>
    </xf>
    <xf numFmtId="3" fontId="12" fillId="4" borderId="4" xfId="2" applyNumberFormat="1" applyFont="1" applyFill="1" applyBorder="1" applyAlignment="1">
      <alignment horizontal="right"/>
    </xf>
    <xf numFmtId="0" fontId="11" fillId="2" borderId="12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/>
    </xf>
    <xf numFmtId="0" fontId="7" fillId="0" borderId="0" xfId="2" applyFont="1"/>
    <xf numFmtId="0" fontId="7" fillId="0" borderId="3" xfId="11" applyFont="1" applyBorder="1" applyAlignment="1">
      <alignment wrapText="1"/>
    </xf>
    <xf numFmtId="0" fontId="7" fillId="0" borderId="3" xfId="11" applyFont="1" applyBorder="1" applyAlignment="1">
      <alignment vertical="center" wrapText="1"/>
    </xf>
    <xf numFmtId="0" fontId="7" fillId="0" borderId="26" xfId="11" applyFont="1" applyBorder="1" applyAlignment="1">
      <alignment vertical="center" wrapText="1"/>
    </xf>
    <xf numFmtId="0" fontId="7" fillId="0" borderId="2" xfId="11" applyFont="1" applyBorder="1" applyAlignment="1">
      <alignment vertical="center" wrapText="1"/>
    </xf>
    <xf numFmtId="3" fontId="7" fillId="0" borderId="17" xfId="2" applyNumberFormat="1" applyFont="1" applyBorder="1" applyAlignment="1">
      <alignment vertical="center"/>
    </xf>
    <xf numFmtId="3" fontId="7" fillId="0" borderId="5" xfId="2" applyNumberFormat="1" applyFont="1" applyBorder="1" applyAlignment="1">
      <alignment vertical="center"/>
    </xf>
    <xf numFmtId="3" fontId="7" fillId="0" borderId="16" xfId="2" applyNumberFormat="1" applyFont="1" applyBorder="1" applyAlignment="1">
      <alignment vertical="center"/>
    </xf>
    <xf numFmtId="3" fontId="7" fillId="0" borderId="23" xfId="2" applyNumberFormat="1" applyFont="1" applyBorder="1" applyAlignment="1">
      <alignment vertical="center"/>
    </xf>
    <xf numFmtId="3" fontId="12" fillId="4" borderId="4" xfId="2" applyNumberFormat="1" applyFont="1" applyFill="1" applyBorder="1" applyAlignment="1">
      <alignment vertical="center"/>
    </xf>
    <xf numFmtId="3" fontId="12" fillId="4" borderId="12" xfId="2" applyNumberFormat="1" applyFont="1" applyFill="1" applyBorder="1" applyAlignment="1">
      <alignment vertical="center"/>
    </xf>
    <xf numFmtId="3" fontId="7" fillId="0" borderId="18" xfId="2" applyNumberFormat="1" applyFont="1" applyBorder="1" applyAlignment="1">
      <alignment vertical="center"/>
    </xf>
    <xf numFmtId="3" fontId="7" fillId="0" borderId="22" xfId="2" applyNumberFormat="1" applyFont="1" applyBorder="1" applyAlignment="1">
      <alignment vertical="center"/>
    </xf>
    <xf numFmtId="3" fontId="7" fillId="0" borderId="15" xfId="2" applyNumberFormat="1" applyFont="1" applyBorder="1" applyAlignment="1">
      <alignment vertical="center"/>
    </xf>
    <xf numFmtId="3" fontId="7" fillId="0" borderId="21" xfId="2" applyNumberFormat="1" applyFont="1" applyBorder="1" applyAlignment="1">
      <alignment vertical="center"/>
    </xf>
    <xf numFmtId="0" fontId="7" fillId="0" borderId="32" xfId="1" applyFont="1" applyFill="1" applyBorder="1" applyAlignment="1">
      <alignment horizontal="left" vertical="center"/>
    </xf>
    <xf numFmtId="0" fontId="7" fillId="0" borderId="19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5" fillId="0" borderId="0" xfId="1" applyFont="1"/>
    <xf numFmtId="3" fontId="11" fillId="4" borderId="12" xfId="4" applyNumberFormat="1" applyFont="1" applyFill="1" applyBorder="1" applyAlignment="1">
      <alignment vertical="center"/>
    </xf>
    <xf numFmtId="0" fontId="30" fillId="0" borderId="0" xfId="1" applyFont="1"/>
    <xf numFmtId="0" fontId="7" fillId="0" borderId="32" xfId="1" applyFont="1" applyFill="1" applyBorder="1" applyAlignment="1">
      <alignment horizontal="left" vertical="center" wrapText="1"/>
    </xf>
    <xf numFmtId="0" fontId="12" fillId="0" borderId="32" xfId="1" applyFont="1" applyFill="1" applyBorder="1" applyAlignment="1">
      <alignment horizontal="center" vertical="center"/>
    </xf>
    <xf numFmtId="3" fontId="7" fillId="0" borderId="23" xfId="1" applyNumberFormat="1" applyFont="1" applyFill="1" applyBorder="1" applyAlignment="1">
      <alignment vertical="center"/>
    </xf>
    <xf numFmtId="3" fontId="12" fillId="4" borderId="12" xfId="1" applyNumberFormat="1" applyFont="1" applyFill="1" applyBorder="1" applyAlignment="1">
      <alignment vertical="center"/>
    </xf>
    <xf numFmtId="3" fontId="7" fillId="0" borderId="21" xfId="1" applyNumberFormat="1" applyFont="1" applyFill="1" applyBorder="1" applyAlignment="1">
      <alignment vertical="center"/>
    </xf>
    <xf numFmtId="3" fontId="7" fillId="0" borderId="23" xfId="1" applyNumberFormat="1" applyFont="1" applyBorder="1" applyAlignment="1">
      <alignment vertical="center"/>
    </xf>
    <xf numFmtId="49" fontId="19" fillId="0" borderId="0" xfId="1" applyNumberFormat="1" applyFont="1" applyAlignment="1">
      <alignment horizontal="center" vertical="center"/>
    </xf>
    <xf numFmtId="3" fontId="19" fillId="0" borderId="0" xfId="1" applyNumberFormat="1" applyFont="1" applyAlignment="1">
      <alignment horizontal="right" vertical="center"/>
    </xf>
    <xf numFmtId="0" fontId="14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vertical="center" wrapText="1"/>
    </xf>
    <xf numFmtId="0" fontId="8" fillId="0" borderId="0" xfId="1" applyFont="1" applyAlignment="1">
      <alignment horizontal="right"/>
    </xf>
    <xf numFmtId="3" fontId="7" fillId="6" borderId="25" xfId="1" applyNumberFormat="1" applyFont="1" applyFill="1" applyBorder="1" applyAlignment="1">
      <alignment horizontal="right" vertical="center" wrapText="1"/>
    </xf>
    <xf numFmtId="0" fontId="5" fillId="0" borderId="0" xfId="1" applyAlignment="1">
      <alignment vertical="center"/>
    </xf>
    <xf numFmtId="49" fontId="19" fillId="0" borderId="0" xfId="1" applyNumberFormat="1" applyFont="1" applyAlignment="1">
      <alignment horizontal="center"/>
    </xf>
    <xf numFmtId="3" fontId="19" fillId="0" borderId="0" xfId="1" applyNumberFormat="1" applyFont="1" applyAlignment="1">
      <alignment horizontal="right"/>
    </xf>
    <xf numFmtId="0" fontId="19" fillId="0" borderId="0" xfId="1" applyFont="1"/>
    <xf numFmtId="0" fontId="19" fillId="0" borderId="0" xfId="1" applyFont="1" applyAlignment="1">
      <alignment horizontal="center"/>
    </xf>
    <xf numFmtId="49" fontId="5" fillId="0" borderId="0" xfId="1" applyNumberFormat="1" applyAlignment="1">
      <alignment horizontal="center" vertical="center"/>
    </xf>
    <xf numFmtId="0" fontId="5" fillId="0" borderId="0" xfId="1" applyAlignment="1">
      <alignment horizontal="center"/>
    </xf>
    <xf numFmtId="0" fontId="20" fillId="6" borderId="0" xfId="0" applyFont="1" applyFill="1" applyBorder="1" applyAlignment="1">
      <alignment horizontal="left" vertical="center" wrapText="1"/>
    </xf>
    <xf numFmtId="3" fontId="20" fillId="0" borderId="40" xfId="1" applyNumberFormat="1" applyFont="1" applyBorder="1" applyAlignment="1">
      <alignment horizontal="center" vertical="center" wrapText="1"/>
    </xf>
    <xf numFmtId="0" fontId="20" fillId="0" borderId="41" xfId="1" applyFont="1" applyBorder="1" applyAlignment="1">
      <alignment horizontal="left" vertical="center" wrapText="1"/>
    </xf>
    <xf numFmtId="3" fontId="11" fillId="4" borderId="25" xfId="1" applyNumberFormat="1" applyFont="1" applyFill="1" applyBorder="1" applyAlignment="1">
      <alignment horizontal="right" vertical="center"/>
    </xf>
    <xf numFmtId="3" fontId="33" fillId="3" borderId="4" xfId="1" applyNumberFormat="1" applyFont="1" applyFill="1" applyBorder="1" applyAlignment="1">
      <alignment horizontal="right" vertical="center"/>
    </xf>
    <xf numFmtId="3" fontId="16" fillId="4" borderId="4" xfId="1" applyNumberFormat="1" applyFont="1" applyFill="1" applyBorder="1" applyAlignment="1">
      <alignment horizontal="right" vertical="center"/>
    </xf>
    <xf numFmtId="0" fontId="22" fillId="4" borderId="4" xfId="1" applyFont="1" applyFill="1" applyBorder="1" applyAlignment="1">
      <alignment horizontal="center" vertical="center" wrapText="1"/>
    </xf>
    <xf numFmtId="49" fontId="20" fillId="0" borderId="40" xfId="1" applyNumberFormat="1" applyFont="1" applyBorder="1" applyAlignment="1">
      <alignment horizontal="center" vertical="center"/>
    </xf>
    <xf numFmtId="49" fontId="20" fillId="0" borderId="40" xfId="1" applyNumberFormat="1" applyFont="1" applyBorder="1" applyAlignment="1">
      <alignment horizontal="center" vertical="center" wrapText="1"/>
    </xf>
    <xf numFmtId="3" fontId="20" fillId="0" borderId="40" xfId="1" applyNumberFormat="1" applyFont="1" applyBorder="1" applyAlignment="1">
      <alignment horizontal="right" vertical="center"/>
    </xf>
    <xf numFmtId="3" fontId="21" fillId="4" borderId="25" xfId="1" applyNumberFormat="1" applyFont="1" applyFill="1" applyBorder="1" applyAlignment="1">
      <alignment horizontal="right" vertical="center"/>
    </xf>
    <xf numFmtId="0" fontId="20" fillId="4" borderId="38" xfId="1" applyFont="1" applyFill="1" applyBorder="1"/>
    <xf numFmtId="3" fontId="11" fillId="0" borderId="40" xfId="1" applyNumberFormat="1" applyFont="1" applyBorder="1" applyAlignment="1">
      <alignment horizontal="right" vertical="center"/>
    </xf>
    <xf numFmtId="0" fontId="11" fillId="4" borderId="9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3" fontId="7" fillId="0" borderId="39" xfId="4" applyNumberFormat="1" applyFont="1" applyBorder="1" applyAlignment="1">
      <alignment vertical="center"/>
    </xf>
    <xf numFmtId="0" fontId="12" fillId="0" borderId="32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3" fontId="7" fillId="0" borderId="39" xfId="1" applyNumberFormat="1" applyFont="1" applyFill="1" applyBorder="1" applyAlignment="1">
      <alignment vertical="center"/>
    </xf>
    <xf numFmtId="0" fontId="20" fillId="0" borderId="6" xfId="1" applyFont="1" applyBorder="1"/>
    <xf numFmtId="0" fontId="20" fillId="0" borderId="0" xfId="1" applyFont="1" applyBorder="1"/>
    <xf numFmtId="0" fontId="20" fillId="0" borderId="5" xfId="1" applyFont="1" applyBorder="1"/>
    <xf numFmtId="3" fontId="7" fillId="0" borderId="32" xfId="1" applyNumberFormat="1" applyFont="1" applyFill="1" applyBorder="1" applyAlignment="1">
      <alignment vertical="center"/>
    </xf>
    <xf numFmtId="0" fontId="12" fillId="0" borderId="33" xfId="1" applyFont="1" applyFill="1" applyBorder="1" applyAlignment="1">
      <alignment horizontal="center" vertical="center"/>
    </xf>
    <xf numFmtId="3" fontId="7" fillId="0" borderId="33" xfId="1" applyNumberFormat="1" applyFont="1" applyFill="1" applyBorder="1" applyAlignment="1">
      <alignment vertical="center"/>
    </xf>
    <xf numFmtId="0" fontId="7" fillId="0" borderId="8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3" fontId="20" fillId="0" borderId="46" xfId="1" applyNumberFormat="1" applyFont="1" applyBorder="1" applyAlignment="1">
      <alignment horizontal="right" vertical="center"/>
    </xf>
    <xf numFmtId="0" fontId="11" fillId="4" borderId="12" xfId="1" applyFont="1" applyFill="1" applyBorder="1" applyAlignment="1">
      <alignment horizontal="center" vertical="center"/>
    </xf>
    <xf numFmtId="3" fontId="7" fillId="0" borderId="54" xfId="4" applyNumberFormat="1" applyFont="1" applyBorder="1" applyAlignment="1">
      <alignment vertical="center"/>
    </xf>
    <xf numFmtId="0" fontId="12" fillId="0" borderId="51" xfId="1" applyFont="1" applyBorder="1" applyAlignment="1">
      <alignment horizontal="center" vertical="center"/>
    </xf>
    <xf numFmtId="0" fontId="12" fillId="0" borderId="52" xfId="1" applyFont="1" applyBorder="1" applyAlignment="1">
      <alignment horizontal="center" vertical="center"/>
    </xf>
    <xf numFmtId="0" fontId="7" fillId="0" borderId="18" xfId="1" applyFont="1" applyBorder="1" applyAlignment="1">
      <alignment vertical="center" wrapText="1"/>
    </xf>
    <xf numFmtId="0" fontId="7" fillId="0" borderId="32" xfId="1" applyFont="1" applyBorder="1" applyAlignment="1">
      <alignment vertical="center" wrapText="1"/>
    </xf>
    <xf numFmtId="0" fontId="7" fillId="0" borderId="53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3" fontId="7" fillId="0" borderId="47" xfId="4" applyNumberFormat="1" applyFont="1" applyBorder="1" applyAlignment="1">
      <alignment vertical="center"/>
    </xf>
    <xf numFmtId="3" fontId="7" fillId="0" borderId="47" xfId="4" applyNumberFormat="1" applyFont="1" applyFill="1" applyBorder="1" applyAlignment="1">
      <alignment vertical="center"/>
    </xf>
    <xf numFmtId="3" fontId="7" fillId="0" borderId="53" xfId="4" applyNumberFormat="1" applyFont="1" applyFill="1" applyBorder="1" applyAlignment="1">
      <alignment vertical="center"/>
    </xf>
    <xf numFmtId="3" fontId="7" fillId="0" borderId="20" xfId="4" applyNumberFormat="1" applyFont="1" applyFill="1" applyBorder="1" applyAlignment="1">
      <alignment vertical="center"/>
    </xf>
    <xf numFmtId="0" fontId="12" fillId="0" borderId="43" xfId="1" applyFont="1" applyBorder="1" applyAlignment="1">
      <alignment horizontal="center" vertical="center"/>
    </xf>
    <xf numFmtId="3" fontId="7" fillId="0" borderId="7" xfId="1" applyNumberFormat="1" applyFont="1" applyFill="1" applyBorder="1" applyAlignment="1">
      <alignment vertical="center"/>
    </xf>
    <xf numFmtId="0" fontId="11" fillId="3" borderId="4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5" fillId="0" borderId="0" xfId="1" applyAlignment="1">
      <alignment wrapText="1"/>
    </xf>
    <xf numFmtId="3" fontId="20" fillId="0" borderId="42" xfId="1" applyNumberFormat="1" applyFont="1" applyBorder="1" applyAlignment="1">
      <alignment horizontal="right" vertical="center"/>
    </xf>
    <xf numFmtId="3" fontId="19" fillId="0" borderId="0" xfId="1" applyNumberFormat="1" applyFont="1" applyAlignment="1">
      <alignment horizontal="center" vertical="center"/>
    </xf>
    <xf numFmtId="3" fontId="11" fillId="4" borderId="13" xfId="1" applyNumberFormat="1" applyFont="1" applyFill="1" applyBorder="1" applyAlignment="1">
      <alignment horizontal="right" vertical="center"/>
    </xf>
    <xf numFmtId="3" fontId="11" fillId="4" borderId="4" xfId="1" applyNumberFormat="1" applyFont="1" applyFill="1" applyBorder="1" applyAlignment="1">
      <alignment horizontal="right" vertical="center"/>
    </xf>
    <xf numFmtId="3" fontId="20" fillId="0" borderId="4" xfId="1" applyNumberFormat="1" applyFont="1" applyFill="1" applyBorder="1" applyAlignment="1">
      <alignment horizontal="right" vertical="center" wrapText="1"/>
    </xf>
    <xf numFmtId="3" fontId="20" fillId="0" borderId="8" xfId="1" applyNumberFormat="1" applyFont="1" applyFill="1" applyBorder="1" applyAlignment="1">
      <alignment horizontal="right" vertical="center" wrapText="1"/>
    </xf>
    <xf numFmtId="3" fontId="20" fillId="0" borderId="59" xfId="1" applyNumberFormat="1" applyFont="1" applyFill="1" applyBorder="1" applyAlignment="1">
      <alignment horizontal="right" vertical="center" wrapText="1"/>
    </xf>
    <xf numFmtId="3" fontId="20" fillId="0" borderId="7" xfId="1" applyNumberFormat="1" applyFont="1" applyFill="1" applyBorder="1" applyAlignment="1">
      <alignment horizontal="right" vertical="center" wrapText="1"/>
    </xf>
    <xf numFmtId="0" fontId="20" fillId="0" borderId="64" xfId="1" applyNumberFormat="1" applyFont="1" applyFill="1" applyBorder="1" applyAlignment="1">
      <alignment horizontal="center" vertical="center" wrapText="1"/>
    </xf>
    <xf numFmtId="0" fontId="20" fillId="0" borderId="12" xfId="1" applyNumberFormat="1" applyFont="1" applyFill="1" applyBorder="1" applyAlignment="1">
      <alignment horizontal="center" vertical="center" wrapText="1"/>
    </xf>
    <xf numFmtId="0" fontId="20" fillId="0" borderId="12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49" fontId="11" fillId="0" borderId="4" xfId="1" applyNumberFormat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3" fontId="20" fillId="6" borderId="13" xfId="1" applyNumberFormat="1" applyFont="1" applyFill="1" applyBorder="1" applyAlignment="1">
      <alignment horizontal="right" vertical="center"/>
    </xf>
    <xf numFmtId="0" fontId="20" fillId="0" borderId="7" xfId="1" applyFont="1" applyFill="1" applyBorder="1" applyAlignment="1">
      <alignment horizontal="left" vertical="center" wrapText="1"/>
    </xf>
    <xf numFmtId="0" fontId="20" fillId="0" borderId="4" xfId="1" applyFont="1" applyBorder="1" applyAlignment="1">
      <alignment vertical="center" wrapText="1"/>
    </xf>
    <xf numFmtId="3" fontId="20" fillId="0" borderId="58" xfId="1" applyNumberFormat="1" applyFont="1" applyBorder="1" applyAlignment="1">
      <alignment horizontal="right" vertical="center"/>
    </xf>
    <xf numFmtId="3" fontId="11" fillId="4" borderId="50" xfId="1" applyNumberFormat="1" applyFont="1" applyFill="1" applyBorder="1" applyAlignment="1">
      <alignment horizontal="right" vertical="center"/>
    </xf>
    <xf numFmtId="3" fontId="11" fillId="5" borderId="50" xfId="1" applyNumberFormat="1" applyFont="1" applyFill="1" applyBorder="1" applyAlignment="1">
      <alignment horizontal="right" vertical="center"/>
    </xf>
    <xf numFmtId="0" fontId="20" fillId="0" borderId="53" xfId="1" applyNumberFormat="1" applyFont="1" applyBorder="1" applyAlignment="1">
      <alignment horizontal="center" vertical="center"/>
    </xf>
    <xf numFmtId="3" fontId="20" fillId="0" borderId="8" xfId="1" applyNumberFormat="1" applyFont="1" applyBorder="1" applyAlignment="1">
      <alignment horizontal="right" vertical="center"/>
    </xf>
    <xf numFmtId="3" fontId="20" fillId="6" borderId="60" xfId="1" applyNumberFormat="1" applyFont="1" applyFill="1" applyBorder="1" applyAlignment="1">
      <alignment horizontal="right" vertical="center"/>
    </xf>
    <xf numFmtId="3" fontId="20" fillId="0" borderId="7" xfId="1" applyNumberFormat="1" applyFont="1" applyBorder="1" applyAlignment="1">
      <alignment horizontal="right" vertical="center"/>
    </xf>
    <xf numFmtId="3" fontId="20" fillId="6" borderId="59" xfId="1" applyNumberFormat="1" applyFont="1" applyFill="1" applyBorder="1" applyAlignment="1">
      <alignment horizontal="right" vertical="center"/>
    </xf>
    <xf numFmtId="49" fontId="11" fillId="0" borderId="8" xfId="1" applyNumberFormat="1" applyFont="1" applyBorder="1" applyAlignment="1">
      <alignment horizontal="center" vertical="center"/>
    </xf>
    <xf numFmtId="0" fontId="20" fillId="0" borderId="53" xfId="1" applyNumberFormat="1" applyFont="1" applyFill="1" applyBorder="1" applyAlignment="1">
      <alignment horizontal="center" vertical="center"/>
    </xf>
    <xf numFmtId="3" fontId="20" fillId="0" borderId="8" xfId="1" applyNumberFormat="1" applyFont="1" applyFill="1" applyBorder="1" applyAlignment="1">
      <alignment horizontal="right" vertical="center"/>
    </xf>
    <xf numFmtId="49" fontId="11" fillId="0" borderId="7" xfId="1" applyNumberFormat="1" applyFont="1" applyBorder="1" applyAlignment="1">
      <alignment horizontal="center" vertical="center"/>
    </xf>
    <xf numFmtId="0" fontId="20" fillId="0" borderId="64" xfId="1" applyNumberFormat="1" applyFont="1" applyFill="1" applyBorder="1" applyAlignment="1">
      <alignment horizontal="center" vertical="center"/>
    </xf>
    <xf numFmtId="3" fontId="20" fillId="0" borderId="7" xfId="1" applyNumberFormat="1" applyFont="1" applyFill="1" applyBorder="1" applyAlignment="1">
      <alignment horizontal="right" vertical="center"/>
    </xf>
    <xf numFmtId="0" fontId="20" fillId="0" borderId="7" xfId="1" applyFont="1" applyBorder="1" applyAlignment="1">
      <alignment vertical="center" wrapText="1"/>
    </xf>
    <xf numFmtId="0" fontId="20" fillId="0" borderId="8" xfId="1" applyFont="1" applyBorder="1" applyAlignment="1">
      <alignment vertical="center" wrapText="1"/>
    </xf>
    <xf numFmtId="0" fontId="11" fillId="0" borderId="6" xfId="1" applyFont="1" applyBorder="1" applyAlignment="1">
      <alignment horizontal="center" vertical="center"/>
    </xf>
    <xf numFmtId="3" fontId="11" fillId="4" borderId="4" xfId="1" applyNumberFormat="1" applyFont="1" applyFill="1" applyBorder="1" applyAlignment="1">
      <alignment horizontal="center" vertical="center" wrapText="1"/>
    </xf>
    <xf numFmtId="0" fontId="36" fillId="4" borderId="4" xfId="1" applyFont="1" applyFill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/>
    </xf>
    <xf numFmtId="3" fontId="20" fillId="6" borderId="0" xfId="0" applyNumberFormat="1" applyFont="1" applyFill="1" applyBorder="1" applyAlignment="1">
      <alignment horizontal="left" vertical="center" wrapText="1"/>
    </xf>
    <xf numFmtId="0" fontId="7" fillId="5" borderId="4" xfId="1" applyFont="1" applyFill="1" applyBorder="1"/>
    <xf numFmtId="0" fontId="20" fillId="4" borderId="4" xfId="1" applyFont="1" applyFill="1" applyBorder="1" applyAlignment="1">
      <alignment horizontal="left" vertical="center" wrapText="1"/>
    </xf>
    <xf numFmtId="0" fontId="20" fillId="0" borderId="14" xfId="1" applyFont="1" applyBorder="1" applyAlignment="1">
      <alignment horizontal="left" vertical="center" wrapText="1"/>
    </xf>
    <xf numFmtId="3" fontId="11" fillId="5" borderId="28" xfId="1" applyNumberFormat="1" applyFont="1" applyFill="1" applyBorder="1" applyAlignment="1">
      <alignment horizontal="right" vertical="center"/>
    </xf>
    <xf numFmtId="3" fontId="11" fillId="4" borderId="28" xfId="1" applyNumberFormat="1" applyFont="1" applyFill="1" applyBorder="1" applyAlignment="1">
      <alignment horizontal="right" vertical="center"/>
    </xf>
    <xf numFmtId="3" fontId="9" fillId="5" borderId="4" xfId="1" applyNumberFormat="1" applyFont="1" applyFill="1" applyBorder="1" applyAlignment="1">
      <alignment horizontal="right" vertical="center"/>
    </xf>
    <xf numFmtId="3" fontId="20" fillId="4" borderId="4" xfId="1" applyNumberFormat="1" applyFont="1" applyFill="1" applyBorder="1" applyAlignment="1">
      <alignment horizontal="center" vertical="center" wrapText="1"/>
    </xf>
    <xf numFmtId="3" fontId="20" fillId="0" borderId="14" xfId="1" applyNumberFormat="1" applyFont="1" applyBorder="1" applyAlignment="1">
      <alignment horizontal="center" vertical="center" wrapText="1"/>
    </xf>
    <xf numFmtId="3" fontId="7" fillId="6" borderId="25" xfId="1" applyNumberFormat="1" applyFont="1" applyFill="1" applyBorder="1" applyAlignment="1">
      <alignment horizontal="right" vertical="center"/>
    </xf>
    <xf numFmtId="0" fontId="7" fillId="6" borderId="31" xfId="1" applyNumberFormat="1" applyFont="1" applyFill="1" applyBorder="1" applyAlignment="1">
      <alignment horizontal="center" vertical="center"/>
    </xf>
    <xf numFmtId="0" fontId="7" fillId="0" borderId="31" xfId="1" applyNumberFormat="1" applyFont="1" applyBorder="1" applyAlignment="1">
      <alignment horizontal="center" vertical="center"/>
    </xf>
    <xf numFmtId="3" fontId="7" fillId="6" borderId="30" xfId="1" applyNumberFormat="1" applyFont="1" applyFill="1" applyBorder="1" applyAlignment="1">
      <alignment horizontal="right" vertical="center" wrapText="1"/>
    </xf>
    <xf numFmtId="3" fontId="7" fillId="6" borderId="8" xfId="1" applyNumberFormat="1" applyFont="1" applyFill="1" applyBorder="1" applyAlignment="1">
      <alignment horizontal="left" vertical="center" wrapText="1"/>
    </xf>
    <xf numFmtId="0" fontId="7" fillId="6" borderId="7" xfId="1" applyFont="1" applyFill="1" applyBorder="1" applyAlignment="1">
      <alignment horizontal="left" vertical="center" wrapText="1"/>
    </xf>
    <xf numFmtId="0" fontId="5" fillId="0" borderId="7" xfId="1" applyFont="1" applyBorder="1" applyAlignment="1">
      <alignment vertical="center" wrapText="1"/>
    </xf>
    <xf numFmtId="0" fontId="7" fillId="0" borderId="8" xfId="4" applyFont="1" applyBorder="1" applyAlignment="1">
      <alignment horizontal="left" vertical="center" wrapText="1"/>
    </xf>
    <xf numFmtId="0" fontId="11" fillId="2" borderId="9" xfId="1" applyFont="1" applyFill="1" applyBorder="1" applyAlignment="1">
      <alignment horizontal="center" vertical="center" wrapText="1"/>
    </xf>
    <xf numFmtId="3" fontId="20" fillId="0" borderId="23" xfId="1" applyNumberFormat="1" applyFont="1" applyBorder="1" applyAlignment="1">
      <alignment horizontal="right" vertical="center"/>
    </xf>
    <xf numFmtId="3" fontId="20" fillId="0" borderId="43" xfId="1" applyNumberFormat="1" applyFont="1" applyFill="1" applyBorder="1" applyAlignment="1">
      <alignment horizontal="right" vertical="center"/>
    </xf>
    <xf numFmtId="0" fontId="20" fillId="0" borderId="72" xfId="1" applyFont="1" applyFill="1" applyBorder="1" applyAlignment="1">
      <alignment horizontal="right" vertical="center" wrapText="1"/>
    </xf>
    <xf numFmtId="0" fontId="11" fillId="2" borderId="72" xfId="1" applyFont="1" applyFill="1" applyBorder="1" applyAlignment="1">
      <alignment horizontal="center" vertical="center" wrapText="1"/>
    </xf>
    <xf numFmtId="3" fontId="11" fillId="2" borderId="12" xfId="1" applyNumberFormat="1" applyFont="1" applyFill="1" applyBorder="1" applyAlignment="1">
      <alignment horizontal="right" vertical="center"/>
    </xf>
    <xf numFmtId="0" fontId="11" fillId="3" borderId="4" xfId="1" applyFont="1" applyFill="1" applyBorder="1" applyAlignment="1">
      <alignment horizontal="center" vertical="center" wrapText="1"/>
    </xf>
    <xf numFmtId="3" fontId="20" fillId="0" borderId="19" xfId="1" applyNumberFormat="1" applyFont="1" applyFill="1" applyBorder="1" applyAlignment="1">
      <alignment horizontal="right" vertical="center" wrapText="1"/>
    </xf>
    <xf numFmtId="49" fontId="11" fillId="3" borderId="4" xfId="1" applyNumberFormat="1" applyFont="1" applyFill="1" applyBorder="1" applyAlignment="1">
      <alignment horizontal="center" vertical="center"/>
    </xf>
    <xf numFmtId="49" fontId="11" fillId="0" borderId="17" xfId="1" applyNumberFormat="1" applyFont="1" applyBorder="1" applyAlignment="1">
      <alignment horizontal="center" vertical="center"/>
    </xf>
    <xf numFmtId="3" fontId="20" fillId="0" borderId="73" xfId="1" applyNumberFormat="1" applyFont="1" applyBorder="1" applyAlignment="1">
      <alignment horizontal="right" vertical="center"/>
    </xf>
    <xf numFmtId="3" fontId="20" fillId="0" borderId="74" xfId="1" applyNumberFormat="1" applyFont="1" applyBorder="1" applyAlignment="1">
      <alignment horizontal="right" vertical="center"/>
    </xf>
    <xf numFmtId="3" fontId="20" fillId="0" borderId="68" xfId="1" applyNumberFormat="1" applyFont="1" applyBorder="1" applyAlignment="1">
      <alignment horizontal="center" vertical="center" wrapText="1"/>
    </xf>
    <xf numFmtId="0" fontId="20" fillId="0" borderId="68" xfId="1" applyFont="1" applyBorder="1" applyAlignment="1">
      <alignment horizontal="left" vertical="center" wrapText="1"/>
    </xf>
    <xf numFmtId="3" fontId="20" fillId="0" borderId="67" xfId="1" applyNumberFormat="1" applyFont="1" applyBorder="1" applyAlignment="1">
      <alignment horizontal="center" vertical="center" wrapText="1"/>
    </xf>
    <xf numFmtId="0" fontId="20" fillId="0" borderId="67" xfId="1" applyFont="1" applyBorder="1" applyAlignment="1">
      <alignment horizontal="left" vertical="center" wrapText="1"/>
    </xf>
    <xf numFmtId="0" fontId="20" fillId="0" borderId="78" xfId="1" applyNumberFormat="1" applyFont="1" applyBorder="1" applyAlignment="1">
      <alignment horizontal="center" vertical="center"/>
    </xf>
    <xf numFmtId="3" fontId="20" fillId="6" borderId="79" xfId="1" applyNumberFormat="1" applyFont="1" applyFill="1" applyBorder="1" applyAlignment="1">
      <alignment horizontal="right" vertical="center"/>
    </xf>
    <xf numFmtId="0" fontId="7" fillId="6" borderId="82" xfId="1" applyNumberFormat="1" applyFont="1" applyFill="1" applyBorder="1" applyAlignment="1">
      <alignment horizontal="center" vertical="center"/>
    </xf>
    <xf numFmtId="3" fontId="7" fillId="6" borderId="83" xfId="1" applyNumberFormat="1" applyFont="1" applyFill="1" applyBorder="1" applyAlignment="1">
      <alignment horizontal="right" vertical="center" wrapText="1"/>
    </xf>
    <xf numFmtId="3" fontId="7" fillId="6" borderId="84" xfId="1" applyNumberFormat="1" applyFont="1" applyFill="1" applyBorder="1" applyAlignment="1">
      <alignment horizontal="right" vertical="center" wrapText="1"/>
    </xf>
    <xf numFmtId="3" fontId="7" fillId="6" borderId="81" xfId="1" applyNumberFormat="1" applyFont="1" applyFill="1" applyBorder="1" applyAlignment="1">
      <alignment horizontal="left" vertical="center" wrapText="1"/>
    </xf>
    <xf numFmtId="0" fontId="12" fillId="0" borderId="9" xfId="1" applyFont="1" applyFill="1" applyBorder="1" applyAlignment="1">
      <alignment horizontal="center" vertical="center"/>
    </xf>
    <xf numFmtId="0" fontId="12" fillId="0" borderId="4" xfId="4" applyFont="1" applyBorder="1" applyAlignment="1">
      <alignment horizontal="center" vertical="center"/>
    </xf>
    <xf numFmtId="3" fontId="7" fillId="6" borderId="25" xfId="4" applyNumberFormat="1" applyFont="1" applyFill="1" applyBorder="1" applyAlignment="1">
      <alignment horizontal="right" vertical="center"/>
    </xf>
    <xf numFmtId="3" fontId="7" fillId="6" borderId="30" xfId="4" applyNumberFormat="1" applyFont="1" applyFill="1" applyBorder="1" applyAlignment="1">
      <alignment horizontal="right" vertical="center"/>
    </xf>
    <xf numFmtId="0" fontId="7" fillId="6" borderId="8" xfId="4" applyFont="1" applyFill="1" applyBorder="1" applyAlignment="1">
      <alignment vertical="center" wrapText="1"/>
    </xf>
    <xf numFmtId="3" fontId="7" fillId="6" borderId="86" xfId="1" applyNumberFormat="1" applyFont="1" applyFill="1" applyBorder="1" applyAlignment="1">
      <alignment horizontal="right" vertical="center"/>
    </xf>
    <xf numFmtId="3" fontId="7" fillId="6" borderId="87" xfId="1" applyNumberFormat="1" applyFont="1" applyFill="1" applyBorder="1" applyAlignment="1">
      <alignment horizontal="right" vertical="center"/>
    </xf>
    <xf numFmtId="0" fontId="7" fillId="0" borderId="37" xfId="4" applyNumberFormat="1" applyFont="1" applyBorder="1" applyAlignment="1">
      <alignment horizontal="center" vertical="center"/>
    </xf>
    <xf numFmtId="0" fontId="7" fillId="0" borderId="92" xfId="1" applyNumberFormat="1" applyFont="1" applyBorder="1" applyAlignment="1">
      <alignment horizontal="center" vertical="center"/>
    </xf>
    <xf numFmtId="3" fontId="7" fillId="6" borderId="88" xfId="1" applyNumberFormat="1" applyFont="1" applyFill="1" applyBorder="1" applyAlignment="1">
      <alignment horizontal="left" vertical="center" wrapText="1"/>
    </xf>
    <xf numFmtId="0" fontId="12" fillId="0" borderId="9" xfId="4" applyFont="1" applyBorder="1" applyAlignment="1">
      <alignment horizontal="center" vertical="center"/>
    </xf>
    <xf numFmtId="3" fontId="12" fillId="0" borderId="4" xfId="4" applyNumberFormat="1" applyFont="1" applyBorder="1" applyAlignment="1">
      <alignment horizontal="right" vertical="center"/>
    </xf>
    <xf numFmtId="0" fontId="7" fillId="0" borderId="24" xfId="4" applyNumberFormat="1" applyFont="1" applyBorder="1" applyAlignment="1">
      <alignment horizontal="center" vertical="center"/>
    </xf>
    <xf numFmtId="0" fontId="39" fillId="6" borderId="19" xfId="0" applyFont="1" applyFill="1" applyBorder="1" applyAlignment="1">
      <alignment horizontal="left" vertical="center" wrapText="1"/>
    </xf>
    <xf numFmtId="3" fontId="7" fillId="6" borderId="19" xfId="1" applyNumberFormat="1" applyFont="1" applyFill="1" applyBorder="1" applyAlignment="1">
      <alignment horizontal="left" vertical="center" wrapText="1"/>
    </xf>
    <xf numFmtId="0" fontId="39" fillId="6" borderId="4" xfId="0" applyFont="1" applyFill="1" applyBorder="1" applyAlignment="1">
      <alignment horizontal="left" vertical="center" wrapText="1"/>
    </xf>
    <xf numFmtId="3" fontId="7" fillId="6" borderId="90" xfId="4" applyNumberFormat="1" applyFont="1" applyFill="1" applyBorder="1" applyAlignment="1">
      <alignment vertical="center"/>
    </xf>
    <xf numFmtId="3" fontId="7" fillId="6" borderId="91" xfId="4" applyNumberFormat="1" applyFont="1" applyFill="1" applyBorder="1" applyAlignment="1">
      <alignment vertical="center"/>
    </xf>
    <xf numFmtId="3" fontId="7" fillId="6" borderId="4" xfId="1" applyNumberFormat="1" applyFont="1" applyFill="1" applyBorder="1" applyAlignment="1">
      <alignment horizontal="left" vertical="center" wrapText="1"/>
    </xf>
    <xf numFmtId="0" fontId="12" fillId="6" borderId="9" xfId="1" applyFont="1" applyFill="1" applyBorder="1" applyAlignment="1">
      <alignment horizontal="center" vertical="center"/>
    </xf>
    <xf numFmtId="0" fontId="7" fillId="6" borderId="29" xfId="1" applyNumberFormat="1" applyFont="1" applyFill="1" applyBorder="1" applyAlignment="1">
      <alignment horizontal="center" vertical="center"/>
    </xf>
    <xf numFmtId="0" fontId="7" fillId="6" borderId="93" xfId="1" applyNumberFormat="1" applyFont="1" applyFill="1" applyBorder="1" applyAlignment="1">
      <alignment horizontal="center" vertical="center"/>
    </xf>
    <xf numFmtId="3" fontId="7" fillId="6" borderId="94" xfId="1" applyNumberFormat="1" applyFont="1" applyFill="1" applyBorder="1" applyAlignment="1">
      <alignment horizontal="right" vertical="center" wrapText="1"/>
    </xf>
    <xf numFmtId="3" fontId="7" fillId="6" borderId="95" xfId="1" applyNumberFormat="1" applyFont="1" applyFill="1" applyBorder="1" applyAlignment="1">
      <alignment horizontal="right" vertical="center" wrapText="1"/>
    </xf>
    <xf numFmtId="0" fontId="12" fillId="6" borderId="56" xfId="1" applyFont="1" applyFill="1" applyBorder="1" applyAlignment="1">
      <alignment horizontal="center" vertical="center"/>
    </xf>
    <xf numFmtId="3" fontId="7" fillId="6" borderId="14" xfId="1" applyNumberFormat="1" applyFont="1" applyFill="1" applyBorder="1" applyAlignment="1">
      <alignment horizontal="left" vertical="center" wrapText="1"/>
    </xf>
    <xf numFmtId="0" fontId="34" fillId="6" borderId="9" xfId="1" applyFont="1" applyFill="1" applyBorder="1" applyAlignment="1">
      <alignment horizontal="center" vertical="center"/>
    </xf>
    <xf numFmtId="0" fontId="31" fillId="6" borderId="4" xfId="1" applyFont="1" applyFill="1" applyBorder="1" applyAlignment="1">
      <alignment horizontal="left" vertical="center" wrapText="1"/>
    </xf>
    <xf numFmtId="49" fontId="34" fillId="6" borderId="4" xfId="1" applyNumberFormat="1" applyFont="1" applyFill="1" applyBorder="1" applyAlignment="1">
      <alignment horizontal="center" vertical="center"/>
    </xf>
    <xf numFmtId="3" fontId="34" fillId="6" borderId="4" xfId="1" applyNumberFormat="1" applyFont="1" applyFill="1" applyBorder="1" applyAlignment="1">
      <alignment horizontal="right" vertical="center"/>
    </xf>
    <xf numFmtId="0" fontId="31" fillId="6" borderId="24" xfId="1" applyNumberFormat="1" applyFont="1" applyFill="1" applyBorder="1" applyAlignment="1">
      <alignment horizontal="center" vertical="center"/>
    </xf>
    <xf numFmtId="3" fontId="31" fillId="6" borderId="90" xfId="1" applyNumberFormat="1" applyFont="1" applyFill="1" applyBorder="1" applyAlignment="1">
      <alignment horizontal="right" vertical="center" wrapText="1"/>
    </xf>
    <xf numFmtId="3" fontId="31" fillId="6" borderId="91" xfId="1" applyNumberFormat="1" applyFont="1" applyFill="1" applyBorder="1" applyAlignment="1">
      <alignment horizontal="right" vertical="center" wrapText="1"/>
    </xf>
    <xf numFmtId="3" fontId="31" fillId="6" borderId="4" xfId="1" applyNumberFormat="1" applyFont="1" applyFill="1" applyBorder="1" applyAlignment="1">
      <alignment horizontal="left" vertical="center" wrapText="1"/>
    </xf>
    <xf numFmtId="0" fontId="34" fillId="6" borderId="6" xfId="1" applyFont="1" applyFill="1" applyBorder="1" applyAlignment="1">
      <alignment horizontal="center" vertical="center"/>
    </xf>
    <xf numFmtId="0" fontId="31" fillId="6" borderId="17" xfId="1" applyFont="1" applyFill="1" applyBorder="1" applyAlignment="1">
      <alignment horizontal="left" vertical="center" wrapText="1"/>
    </xf>
    <xf numFmtId="49" fontId="34" fillId="6" borderId="17" xfId="1" applyNumberFormat="1" applyFont="1" applyFill="1" applyBorder="1" applyAlignment="1">
      <alignment horizontal="center" vertical="center"/>
    </xf>
    <xf numFmtId="3" fontId="34" fillId="6" borderId="17" xfId="1" applyNumberFormat="1" applyFont="1" applyFill="1" applyBorder="1" applyAlignment="1">
      <alignment horizontal="right" vertical="center"/>
    </xf>
    <xf numFmtId="0" fontId="31" fillId="6" borderId="1" xfId="1" applyNumberFormat="1" applyFont="1" applyFill="1" applyBorder="1" applyAlignment="1">
      <alignment horizontal="center" vertical="center"/>
    </xf>
    <xf numFmtId="3" fontId="31" fillId="6" borderId="76" xfId="1" applyNumberFormat="1" applyFont="1" applyFill="1" applyBorder="1" applyAlignment="1">
      <alignment horizontal="right" vertical="center" wrapText="1"/>
    </xf>
    <xf numFmtId="3" fontId="31" fillId="6" borderId="49" xfId="1" applyNumberFormat="1" applyFont="1" applyFill="1" applyBorder="1" applyAlignment="1">
      <alignment horizontal="right" vertical="center" wrapText="1"/>
    </xf>
    <xf numFmtId="3" fontId="31" fillId="6" borderId="17" xfId="1" applyNumberFormat="1" applyFont="1" applyFill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center" vertical="center"/>
    </xf>
    <xf numFmtId="3" fontId="7" fillId="6" borderId="76" xfId="1" applyNumberFormat="1" applyFont="1" applyFill="1" applyBorder="1" applyAlignment="1">
      <alignment horizontal="right" vertical="center"/>
    </xf>
    <xf numFmtId="3" fontId="7" fillId="6" borderId="49" xfId="1" applyNumberFormat="1" applyFont="1" applyFill="1" applyBorder="1" applyAlignment="1">
      <alignment horizontal="right" vertical="center"/>
    </xf>
    <xf numFmtId="0" fontId="35" fillId="3" borderId="14" xfId="1" applyNumberFormat="1" applyFont="1" applyFill="1" applyBorder="1" applyAlignment="1">
      <alignment horizontal="center" vertical="center"/>
    </xf>
    <xf numFmtId="3" fontId="33" fillId="3" borderId="57" xfId="1" applyNumberFormat="1" applyFont="1" applyFill="1" applyBorder="1" applyAlignment="1">
      <alignment horizontal="right" vertical="center"/>
    </xf>
    <xf numFmtId="3" fontId="33" fillId="3" borderId="97" xfId="1" applyNumberFormat="1" applyFont="1" applyFill="1" applyBorder="1" applyAlignment="1">
      <alignment horizontal="right" vertical="center"/>
    </xf>
    <xf numFmtId="0" fontId="35" fillId="3" borderId="14" xfId="1" applyFont="1" applyFill="1" applyBorder="1"/>
    <xf numFmtId="0" fontId="7" fillId="0" borderId="11" xfId="1" applyNumberFormat="1" applyFont="1" applyBorder="1" applyAlignment="1">
      <alignment horizontal="center" vertical="center"/>
    </xf>
    <xf numFmtId="3" fontId="7" fillId="6" borderId="96" xfId="1" applyNumberFormat="1" applyFont="1" applyFill="1" applyBorder="1" applyAlignment="1">
      <alignment horizontal="right" vertical="center"/>
    </xf>
    <xf numFmtId="3" fontId="7" fillId="6" borderId="66" xfId="1" applyNumberFormat="1" applyFont="1" applyFill="1" applyBorder="1" applyAlignment="1">
      <alignment horizontal="right" vertical="center"/>
    </xf>
    <xf numFmtId="0" fontId="5" fillId="0" borderId="19" xfId="1" applyFont="1" applyBorder="1" applyAlignment="1">
      <alignment vertical="center" wrapText="1"/>
    </xf>
    <xf numFmtId="49" fontId="20" fillId="0" borderId="4" xfId="1" applyNumberFormat="1" applyFont="1" applyFill="1" applyBorder="1" applyAlignment="1">
      <alignment horizontal="center" vertical="center" wrapText="1"/>
    </xf>
    <xf numFmtId="3" fontId="20" fillId="0" borderId="94" xfId="1" applyNumberFormat="1" applyFont="1" applyBorder="1" applyAlignment="1">
      <alignment horizontal="right" vertical="center"/>
    </xf>
    <xf numFmtId="3" fontId="20" fillId="0" borderId="95" xfId="1" applyNumberFormat="1" applyFont="1" applyBorder="1" applyAlignment="1">
      <alignment horizontal="right" vertical="center"/>
    </xf>
    <xf numFmtId="0" fontId="12" fillId="0" borderId="69" xfId="1" applyFont="1" applyBorder="1" applyAlignment="1">
      <alignment horizontal="center" vertical="center"/>
    </xf>
    <xf numFmtId="3" fontId="7" fillId="0" borderId="70" xfId="4" applyNumberFormat="1" applyFont="1" applyBorder="1" applyAlignment="1">
      <alignment vertical="center"/>
    </xf>
    <xf numFmtId="0" fontId="12" fillId="6" borderId="11" xfId="1" applyFont="1" applyFill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9" xfId="1" applyNumberFormat="1" applyFont="1" applyBorder="1" applyAlignment="1">
      <alignment horizontal="center" vertical="center"/>
    </xf>
    <xf numFmtId="49" fontId="11" fillId="0" borderId="17" xfId="1" applyNumberFormat="1" applyFont="1" applyBorder="1" applyAlignment="1">
      <alignment horizontal="center" vertical="center"/>
    </xf>
    <xf numFmtId="0" fontId="12" fillId="0" borderId="89" xfId="1" applyFont="1" applyBorder="1" applyAlignment="1">
      <alignment horizontal="center" vertical="center"/>
    </xf>
    <xf numFmtId="0" fontId="7" fillId="0" borderId="88" xfId="1" applyFont="1" applyBorder="1" applyAlignment="1">
      <alignment vertical="center" wrapText="1"/>
    </xf>
    <xf numFmtId="3" fontId="7" fillId="6" borderId="30" xfId="1" applyNumberFormat="1" applyFont="1" applyFill="1" applyBorder="1" applyAlignment="1">
      <alignment horizontal="right" vertical="center"/>
    </xf>
    <xf numFmtId="3" fontId="20" fillId="0" borderId="79" xfId="1" applyNumberFormat="1" applyFont="1" applyFill="1" applyBorder="1" applyAlignment="1">
      <alignment horizontal="right" vertical="center" wrapText="1"/>
    </xf>
    <xf numFmtId="49" fontId="20" fillId="0" borderId="77" xfId="1" applyNumberFormat="1" applyFont="1" applyBorder="1" applyAlignment="1">
      <alignment horizontal="center" vertical="center"/>
    </xf>
    <xf numFmtId="0" fontId="20" fillId="0" borderId="10" xfId="1" applyNumberFormat="1" applyFont="1" applyFill="1" applyBorder="1" applyAlignment="1">
      <alignment horizontal="center" vertical="center"/>
    </xf>
    <xf numFmtId="3" fontId="20" fillId="6" borderId="98" xfId="1" applyNumberFormat="1" applyFont="1" applyFill="1" applyBorder="1" applyAlignment="1">
      <alignment horizontal="right" vertical="center"/>
    </xf>
    <xf numFmtId="3" fontId="20" fillId="0" borderId="19" xfId="1" applyNumberFormat="1" applyFont="1" applyFill="1" applyBorder="1" applyAlignment="1">
      <alignment horizontal="right" vertical="center"/>
    </xf>
    <xf numFmtId="0" fontId="20" fillId="0" borderId="19" xfId="1" applyFont="1" applyBorder="1" applyAlignment="1">
      <alignment vertical="center" wrapText="1"/>
    </xf>
    <xf numFmtId="3" fontId="5" fillId="0" borderId="0" xfId="1" applyNumberFormat="1" applyAlignment="1">
      <alignment wrapText="1"/>
    </xf>
    <xf numFmtId="0" fontId="11" fillId="4" borderId="11" xfId="1" applyFont="1" applyFill="1" applyBorder="1" applyAlignment="1">
      <alignment horizontal="center" vertical="center" wrapText="1"/>
    </xf>
    <xf numFmtId="0" fontId="20" fillId="0" borderId="86" xfId="1" applyFont="1" applyFill="1" applyBorder="1" applyAlignment="1">
      <alignment horizontal="center" vertical="center" wrapText="1"/>
    </xf>
    <xf numFmtId="3" fontId="11" fillId="4" borderId="8" xfId="1" applyNumberFormat="1" applyFont="1" applyFill="1" applyBorder="1" applyAlignment="1">
      <alignment horizontal="right" vertical="center"/>
    </xf>
    <xf numFmtId="3" fontId="11" fillId="4" borderId="31" xfId="1" applyNumberFormat="1" applyFont="1" applyFill="1" applyBorder="1" applyAlignment="1">
      <alignment horizontal="right" vertical="center"/>
    </xf>
    <xf numFmtId="0" fontId="11" fillId="4" borderId="38" xfId="1" applyFont="1" applyFill="1" applyBorder="1" applyAlignment="1">
      <alignment horizontal="right" vertical="center"/>
    </xf>
    <xf numFmtId="0" fontId="11" fillId="4" borderId="53" xfId="1" applyFont="1" applyFill="1" applyBorder="1" applyAlignment="1">
      <alignment horizontal="right" vertical="center"/>
    </xf>
    <xf numFmtId="3" fontId="11" fillId="4" borderId="18" xfId="1" applyNumberFormat="1" applyFont="1" applyFill="1" applyBorder="1" applyAlignment="1">
      <alignment horizontal="right" vertical="center"/>
    </xf>
    <xf numFmtId="3" fontId="11" fillId="4" borderId="62" xfId="1" applyNumberFormat="1" applyFont="1" applyFill="1" applyBorder="1" applyAlignment="1">
      <alignment horizontal="right" vertical="center"/>
    </xf>
    <xf numFmtId="3" fontId="11" fillId="4" borderId="48" xfId="1" applyNumberFormat="1" applyFont="1" applyFill="1" applyBorder="1" applyAlignment="1">
      <alignment horizontal="right" vertical="center"/>
    </xf>
    <xf numFmtId="3" fontId="11" fillId="4" borderId="45" xfId="1" applyNumberFormat="1" applyFont="1" applyFill="1" applyBorder="1" applyAlignment="1">
      <alignment horizontal="right" vertical="center"/>
    </xf>
    <xf numFmtId="0" fontId="7" fillId="0" borderId="17" xfId="1" applyFont="1" applyBorder="1" applyAlignment="1">
      <alignment horizontal="left" vertical="center" wrapText="1"/>
    </xf>
    <xf numFmtId="0" fontId="11" fillId="2" borderId="4" xfId="1" applyFont="1" applyFill="1" applyBorder="1" applyAlignment="1">
      <alignment horizontal="center" vertical="center" wrapText="1"/>
    </xf>
    <xf numFmtId="3" fontId="11" fillId="4" borderId="61" xfId="1" applyNumberFormat="1" applyFont="1" applyFill="1" applyBorder="1" applyAlignment="1">
      <alignment horizontal="right" vertical="center"/>
    </xf>
    <xf numFmtId="3" fontId="11" fillId="4" borderId="69" xfId="1" applyNumberFormat="1" applyFont="1" applyFill="1" applyBorder="1" applyAlignment="1">
      <alignment horizontal="right" vertical="center"/>
    </xf>
    <xf numFmtId="3" fontId="11" fillId="4" borderId="70" xfId="1" applyNumberFormat="1" applyFont="1" applyFill="1" applyBorder="1" applyAlignment="1">
      <alignment horizontal="right" vertical="center"/>
    </xf>
    <xf numFmtId="49" fontId="20" fillId="0" borderId="97" xfId="10" applyNumberFormat="1" applyFont="1" applyFill="1" applyBorder="1" applyAlignment="1" applyProtection="1">
      <alignment horizontal="center" vertical="center" wrapText="1"/>
      <protection locked="0"/>
    </xf>
    <xf numFmtId="3" fontId="11" fillId="5" borderId="24" xfId="1" applyNumberFormat="1" applyFont="1" applyFill="1" applyBorder="1" applyAlignment="1">
      <alignment horizontal="right" vertical="center"/>
    </xf>
    <xf numFmtId="3" fontId="20" fillId="0" borderId="82" xfId="1" applyNumberFormat="1" applyFont="1" applyBorder="1" applyAlignment="1">
      <alignment horizontal="right" vertical="center"/>
    </xf>
    <xf numFmtId="3" fontId="20" fillId="0" borderId="93" xfId="1" applyNumberFormat="1" applyFont="1" applyBorder="1" applyAlignment="1">
      <alignment horizontal="right" vertical="center"/>
    </xf>
    <xf numFmtId="3" fontId="11" fillId="4" borderId="24" xfId="1" applyNumberFormat="1" applyFont="1" applyFill="1" applyBorder="1" applyAlignment="1">
      <alignment horizontal="right" vertical="center"/>
    </xf>
    <xf numFmtId="3" fontId="20" fillId="0" borderId="77" xfId="1" applyNumberFormat="1" applyFont="1" applyBorder="1" applyAlignment="1">
      <alignment horizontal="right" vertical="center"/>
    </xf>
    <xf numFmtId="3" fontId="16" fillId="4" borderId="12" xfId="1" applyNumberFormat="1" applyFont="1" applyFill="1" applyBorder="1" applyAlignment="1">
      <alignment horizontal="right" vertical="center"/>
    </xf>
    <xf numFmtId="3" fontId="11" fillId="5" borderId="4" xfId="1" applyNumberFormat="1" applyFont="1" applyFill="1" applyBorder="1" applyAlignment="1">
      <alignment horizontal="right" vertical="center"/>
    </xf>
    <xf numFmtId="0" fontId="20" fillId="4" borderId="4" xfId="1" applyNumberFormat="1" applyFont="1" applyFill="1" applyBorder="1" applyAlignment="1">
      <alignment horizontal="center" vertical="center"/>
    </xf>
    <xf numFmtId="0" fontId="20" fillId="0" borderId="14" xfId="1" applyNumberFormat="1" applyFont="1" applyBorder="1" applyAlignment="1">
      <alignment horizontal="center" vertical="center"/>
    </xf>
    <xf numFmtId="0" fontId="20" fillId="0" borderId="83" xfId="1" applyFont="1" applyBorder="1" applyAlignment="1">
      <alignment horizontal="center" vertical="center"/>
    </xf>
    <xf numFmtId="0" fontId="20" fillId="0" borderId="86" xfId="1" applyFont="1" applyBorder="1" applyAlignment="1">
      <alignment horizontal="center" vertical="center"/>
    </xf>
    <xf numFmtId="0" fontId="11" fillId="2" borderId="85" xfId="1" applyFont="1" applyFill="1" applyBorder="1" applyAlignment="1">
      <alignment horizontal="center" vertical="center" wrapText="1"/>
    </xf>
    <xf numFmtId="0" fontId="11" fillId="2" borderId="86" xfId="1" applyFont="1" applyFill="1" applyBorder="1" applyAlignment="1">
      <alignment horizontal="center" vertical="center" wrapText="1"/>
    </xf>
    <xf numFmtId="0" fontId="20" fillId="0" borderId="85" xfId="1" applyFont="1" applyFill="1" applyBorder="1" applyAlignment="1">
      <alignment horizontal="center" vertical="center"/>
    </xf>
    <xf numFmtId="0" fontId="20" fillId="0" borderId="87" xfId="1" applyFont="1" applyFill="1" applyBorder="1" applyAlignment="1">
      <alignment horizontal="center" vertical="center"/>
    </xf>
    <xf numFmtId="3" fontId="20" fillId="0" borderId="85" xfId="1" applyNumberFormat="1" applyFont="1" applyFill="1" applyBorder="1" applyAlignment="1">
      <alignment horizontal="right" vertical="center" wrapText="1"/>
    </xf>
    <xf numFmtId="3" fontId="20" fillId="0" borderId="86" xfId="1" applyNumberFormat="1" applyFont="1" applyFill="1" applyBorder="1" applyAlignment="1">
      <alignment horizontal="right" vertical="center" wrapText="1"/>
    </xf>
    <xf numFmtId="0" fontId="20" fillId="0" borderId="78" xfId="1" applyFont="1" applyFill="1" applyBorder="1" applyAlignment="1">
      <alignment horizontal="right" vertical="center" wrapText="1"/>
    </xf>
    <xf numFmtId="0" fontId="20" fillId="0" borderId="95" xfId="1" applyFont="1" applyBorder="1" applyAlignment="1">
      <alignment horizontal="center" vertical="center" wrapText="1"/>
    </xf>
    <xf numFmtId="3" fontId="20" fillId="0" borderId="89" xfId="1" applyNumberFormat="1" applyFont="1" applyBorder="1" applyAlignment="1">
      <alignment horizontal="right" vertical="center"/>
    </xf>
    <xf numFmtId="3" fontId="20" fillId="0" borderId="88" xfId="1" applyNumberFormat="1" applyFont="1" applyBorder="1" applyAlignment="1">
      <alignment horizontal="right" vertical="center"/>
    </xf>
    <xf numFmtId="0" fontId="7" fillId="6" borderId="8" xfId="1" applyFont="1" applyFill="1" applyBorder="1" applyAlignment="1">
      <alignment horizontal="left" vertical="center" wrapText="1"/>
    </xf>
    <xf numFmtId="0" fontId="32" fillId="0" borderId="0" xfId="15" applyFont="1" applyAlignment="1">
      <alignment horizontal="center" vertical="center"/>
    </xf>
    <xf numFmtId="0" fontId="32" fillId="0" borderId="0" xfId="15" applyFont="1" applyAlignment="1">
      <alignment vertical="center"/>
    </xf>
    <xf numFmtId="10" fontId="41" fillId="0" borderId="0" xfId="15" applyNumberFormat="1" applyFont="1" applyBorder="1" applyAlignment="1">
      <alignment horizontal="right" vertical="center"/>
    </xf>
    <xf numFmtId="0" fontId="32" fillId="0" borderId="0" xfId="15"/>
    <xf numFmtId="10" fontId="32" fillId="0" borderId="0" xfId="15" applyNumberFormat="1"/>
    <xf numFmtId="0" fontId="43" fillId="0" borderId="0" xfId="15" applyFont="1" applyBorder="1" applyAlignment="1">
      <alignment vertical="center" wrapText="1"/>
    </xf>
    <xf numFmtId="10" fontId="43" fillId="0" borderId="0" xfId="15" applyNumberFormat="1" applyFont="1" applyBorder="1" applyAlignment="1">
      <alignment vertical="center" wrapText="1"/>
    </xf>
    <xf numFmtId="0" fontId="44" fillId="0" borderId="0" xfId="15" applyFont="1" applyBorder="1" applyAlignment="1">
      <alignment horizontal="center" vertical="center"/>
    </xf>
    <xf numFmtId="0" fontId="32" fillId="0" borderId="0" xfId="15" applyFont="1" applyBorder="1" applyAlignment="1">
      <alignment horizontal="center" vertical="center"/>
    </xf>
    <xf numFmtId="0" fontId="32" fillId="0" borderId="0" xfId="15" applyFont="1" applyBorder="1" applyAlignment="1">
      <alignment vertical="center"/>
    </xf>
    <xf numFmtId="3" fontId="41" fillId="0" borderId="0" xfId="15" applyNumberFormat="1" applyFont="1" applyBorder="1" applyAlignment="1">
      <alignment horizontal="right" vertical="center"/>
    </xf>
    <xf numFmtId="0" fontId="11" fillId="2" borderId="4" xfId="15" applyFont="1" applyFill="1" applyBorder="1" applyAlignment="1">
      <alignment horizontal="center" vertical="center" wrapText="1"/>
    </xf>
    <xf numFmtId="0" fontId="11" fillId="2" borderId="12" xfId="15" applyFont="1" applyFill="1" applyBorder="1" applyAlignment="1">
      <alignment horizontal="center" vertical="center" wrapText="1"/>
    </xf>
    <xf numFmtId="0" fontId="33" fillId="2" borderId="4" xfId="15" applyFont="1" applyFill="1" applyBorder="1" applyAlignment="1">
      <alignment horizontal="center" vertical="center" wrapText="1"/>
    </xf>
    <xf numFmtId="0" fontId="11" fillId="2" borderId="9" xfId="15" applyFont="1" applyFill="1" applyBorder="1" applyAlignment="1">
      <alignment horizontal="center" vertical="center" wrapText="1"/>
    </xf>
    <xf numFmtId="3" fontId="33" fillId="2" borderId="4" xfId="15" applyNumberFormat="1" applyFont="1" applyFill="1" applyBorder="1" applyAlignment="1">
      <alignment horizontal="center" vertical="center"/>
    </xf>
    <xf numFmtId="0" fontId="12" fillId="4" borderId="4" xfId="15" quotePrefix="1" applyFont="1" applyFill="1" applyBorder="1" applyAlignment="1">
      <alignment horizontal="center" vertical="center" wrapText="1"/>
    </xf>
    <xf numFmtId="0" fontId="12" fillId="4" borderId="12" xfId="15" quotePrefix="1" applyFont="1" applyFill="1" applyBorder="1" applyAlignment="1">
      <alignment horizontal="center" vertical="center" wrapText="1"/>
    </xf>
    <xf numFmtId="0" fontId="34" fillId="4" borderId="9" xfId="15" applyFont="1" applyFill="1" applyBorder="1" applyAlignment="1">
      <alignment vertical="center" wrapText="1"/>
    </xf>
    <xf numFmtId="0" fontId="12" fillId="4" borderId="9" xfId="15" applyFont="1" applyFill="1" applyBorder="1" applyAlignment="1">
      <alignment vertical="center" wrapText="1"/>
    </xf>
    <xf numFmtId="3" fontId="45" fillId="4" borderId="19" xfId="15" applyNumberFormat="1" applyFont="1" applyFill="1" applyBorder="1" applyAlignment="1">
      <alignment horizontal="right" vertical="center"/>
    </xf>
    <xf numFmtId="10" fontId="45" fillId="4" borderId="19" xfId="15" applyNumberFormat="1" applyFont="1" applyFill="1" applyBorder="1" applyAlignment="1">
      <alignment horizontal="right" vertical="center"/>
    </xf>
    <xf numFmtId="49" fontId="9" fillId="7" borderId="13" xfId="15" applyNumberFormat="1" applyFont="1" applyFill="1" applyBorder="1" applyAlignment="1">
      <alignment horizontal="center" vertical="center" wrapText="1"/>
    </xf>
    <xf numFmtId="0" fontId="46" fillId="7" borderId="4" xfId="15" applyFont="1" applyFill="1" applyBorder="1" applyAlignment="1">
      <alignment vertical="center" wrapText="1"/>
    </xf>
    <xf numFmtId="0" fontId="9" fillId="7" borderId="9" xfId="15" applyFont="1" applyFill="1" applyBorder="1" applyAlignment="1">
      <alignment vertical="center" wrapText="1"/>
    </xf>
    <xf numFmtId="3" fontId="45" fillId="7" borderId="19" xfId="15" applyNumberFormat="1" applyFont="1" applyFill="1" applyBorder="1" applyAlignment="1">
      <alignment horizontal="right" vertical="center"/>
    </xf>
    <xf numFmtId="10" fontId="45" fillId="7" borderId="19" xfId="15" applyNumberFormat="1" applyFont="1" applyFill="1" applyBorder="1" applyAlignment="1">
      <alignment horizontal="right" vertical="center"/>
    </xf>
    <xf numFmtId="3" fontId="47" fillId="8" borderId="19" xfId="15" applyNumberFormat="1" applyFont="1" applyFill="1" applyBorder="1" applyAlignment="1">
      <alignment horizontal="right" vertical="center"/>
    </xf>
    <xf numFmtId="10" fontId="47" fillId="8" borderId="19" xfId="15" applyNumberFormat="1" applyFont="1" applyFill="1" applyBorder="1" applyAlignment="1">
      <alignment horizontal="right" vertical="center"/>
    </xf>
    <xf numFmtId="49" fontId="7" fillId="6" borderId="6" xfId="15" applyNumberFormat="1" applyFont="1" applyFill="1" applyBorder="1" applyAlignment="1">
      <alignment horizontal="center" vertical="center" wrapText="1"/>
    </xf>
    <xf numFmtId="3" fontId="47" fillId="8" borderId="7" xfId="15" applyNumberFormat="1" applyFont="1" applyFill="1" applyBorder="1" applyAlignment="1">
      <alignment horizontal="right" vertical="center"/>
    </xf>
    <xf numFmtId="10" fontId="47" fillId="8" borderId="7" xfId="15" applyNumberFormat="1" applyFont="1" applyFill="1" applyBorder="1" applyAlignment="1">
      <alignment horizontal="right" vertical="center"/>
    </xf>
    <xf numFmtId="0" fontId="50" fillId="7" borderId="9" xfId="15" applyFont="1" applyFill="1" applyBorder="1" applyAlignment="1">
      <alignment vertical="center" wrapText="1"/>
    </xf>
    <xf numFmtId="0" fontId="49" fillId="7" borderId="9" xfId="15" applyFont="1" applyFill="1" applyBorder="1" applyAlignment="1">
      <alignment vertical="center" wrapText="1"/>
    </xf>
    <xf numFmtId="3" fontId="47" fillId="8" borderId="8" xfId="15" applyNumberFormat="1" applyFont="1" applyFill="1" applyBorder="1" applyAlignment="1">
      <alignment horizontal="right" vertical="center"/>
    </xf>
    <xf numFmtId="10" fontId="47" fillId="8" borderId="8" xfId="15" applyNumberFormat="1" applyFont="1" applyFill="1" applyBorder="1" applyAlignment="1">
      <alignment horizontal="right" vertical="center"/>
    </xf>
    <xf numFmtId="3" fontId="48" fillId="6" borderId="18" xfId="15" applyNumberFormat="1" applyFont="1" applyFill="1" applyBorder="1" applyAlignment="1">
      <alignment horizontal="right" vertical="center"/>
    </xf>
    <xf numFmtId="3" fontId="48" fillId="0" borderId="18" xfId="15" applyNumberFormat="1" applyFont="1" applyFill="1" applyBorder="1" applyAlignment="1">
      <alignment horizontal="right" vertical="center"/>
    </xf>
    <xf numFmtId="10" fontId="48" fillId="0" borderId="18" xfId="15" applyNumberFormat="1" applyFont="1" applyFill="1" applyBorder="1" applyAlignment="1">
      <alignment horizontal="right" vertical="center"/>
    </xf>
    <xf numFmtId="3" fontId="48" fillId="0" borderId="17" xfId="15" applyNumberFormat="1" applyFont="1" applyFill="1" applyBorder="1" applyAlignment="1">
      <alignment horizontal="right" vertical="center"/>
    </xf>
    <xf numFmtId="10" fontId="48" fillId="0" borderId="17" xfId="15" applyNumberFormat="1" applyFont="1" applyFill="1" applyBorder="1" applyAlignment="1">
      <alignment horizontal="right" vertical="center"/>
    </xf>
    <xf numFmtId="0" fontId="50" fillId="7" borderId="4" xfId="15" applyFont="1" applyFill="1" applyBorder="1" applyAlignment="1">
      <alignment vertical="center" wrapText="1"/>
    </xf>
    <xf numFmtId="0" fontId="8" fillId="8" borderId="6" xfId="15" quotePrefix="1" applyFont="1" applyFill="1" applyBorder="1" applyAlignment="1">
      <alignment horizontal="left" vertical="center" wrapText="1"/>
    </xf>
    <xf numFmtId="49" fontId="9" fillId="7" borderId="27" xfId="15" applyNumberFormat="1" applyFont="1" applyFill="1" applyBorder="1" applyAlignment="1">
      <alignment horizontal="center" vertical="center" wrapText="1"/>
    </xf>
    <xf numFmtId="0" fontId="50" fillId="7" borderId="56" xfId="15" applyFont="1" applyFill="1" applyBorder="1" applyAlignment="1">
      <alignment vertical="center" wrapText="1"/>
    </xf>
    <xf numFmtId="0" fontId="49" fillId="7" borderId="56" xfId="15" applyFont="1" applyFill="1" applyBorder="1" applyAlignment="1">
      <alignment vertical="center" wrapText="1"/>
    </xf>
    <xf numFmtId="3" fontId="45" fillId="7" borderId="17" xfId="15" applyNumberFormat="1" applyFont="1" applyFill="1" applyBorder="1" applyAlignment="1">
      <alignment horizontal="right" vertical="center"/>
    </xf>
    <xf numFmtId="10" fontId="45" fillId="7" borderId="17" xfId="15" applyNumberFormat="1" applyFont="1" applyFill="1" applyBorder="1" applyAlignment="1">
      <alignment horizontal="right" vertical="center"/>
    </xf>
    <xf numFmtId="49" fontId="9" fillId="7" borderId="4" xfId="15" applyNumberFormat="1" applyFont="1" applyFill="1" applyBorder="1" applyAlignment="1">
      <alignment horizontal="center" vertical="center" wrapText="1"/>
    </xf>
    <xf numFmtId="3" fontId="45" fillId="7" borderId="4" xfId="15" applyNumberFormat="1" applyFont="1" applyFill="1" applyBorder="1" applyAlignment="1">
      <alignment horizontal="right" vertical="center"/>
    </xf>
    <xf numFmtId="10" fontId="45" fillId="7" borderId="4" xfId="15" applyNumberFormat="1" applyFont="1" applyFill="1" applyBorder="1" applyAlignment="1">
      <alignment horizontal="right" vertical="center"/>
    </xf>
    <xf numFmtId="49" fontId="12" fillId="4" borderId="4" xfId="15" applyNumberFormat="1" applyFont="1" applyFill="1" applyBorder="1" applyAlignment="1">
      <alignment horizontal="center" vertical="center" wrapText="1"/>
    </xf>
    <xf numFmtId="49" fontId="12" fillId="4" borderId="20" xfId="15" applyNumberFormat="1" applyFont="1" applyFill="1" applyBorder="1" applyAlignment="1">
      <alignment horizontal="center" vertical="center" wrapText="1"/>
    </xf>
    <xf numFmtId="49" fontId="12" fillId="4" borderId="56" xfId="15" applyNumberFormat="1" applyFont="1" applyFill="1" applyBorder="1" applyAlignment="1">
      <alignment horizontal="left" vertical="center" wrapText="1"/>
    </xf>
    <xf numFmtId="0" fontId="32" fillId="0" borderId="0" xfId="15" applyFont="1"/>
    <xf numFmtId="49" fontId="9" fillId="7" borderId="12" xfId="15" applyNumberFormat="1" applyFont="1" applyFill="1" applyBorder="1" applyAlignment="1">
      <alignment horizontal="center" vertical="center" wrapText="1"/>
    </xf>
    <xf numFmtId="49" fontId="12" fillId="4" borderId="12" xfId="15" applyNumberFormat="1" applyFont="1" applyFill="1" applyBorder="1" applyAlignment="1">
      <alignment horizontal="center" vertical="center" wrapText="1"/>
    </xf>
    <xf numFmtId="49" fontId="34" fillId="4" borderId="9" xfId="15" applyNumberFormat="1" applyFont="1" applyFill="1" applyBorder="1" applyAlignment="1">
      <alignment horizontal="left" vertical="center" wrapText="1"/>
    </xf>
    <xf numFmtId="49" fontId="12" fillId="4" borderId="9" xfId="15" applyNumberFormat="1" applyFont="1" applyFill="1" applyBorder="1" applyAlignment="1">
      <alignment horizontal="left" vertical="center" wrapText="1"/>
    </xf>
    <xf numFmtId="3" fontId="45" fillId="4" borderId="4" xfId="15" applyNumberFormat="1" applyFont="1" applyFill="1" applyBorder="1" applyAlignment="1">
      <alignment horizontal="right" vertical="center"/>
    </xf>
    <xf numFmtId="10" fontId="45" fillId="4" borderId="4" xfId="15" applyNumberFormat="1" applyFont="1" applyFill="1" applyBorder="1" applyAlignment="1">
      <alignment horizontal="right" vertical="center"/>
    </xf>
    <xf numFmtId="0" fontId="9" fillId="7" borderId="11" xfId="15" applyFont="1" applyFill="1" applyBorder="1" applyAlignment="1">
      <alignment vertical="center" wrapText="1"/>
    </xf>
    <xf numFmtId="3" fontId="47" fillId="8" borderId="14" xfId="15" applyNumberFormat="1" applyFont="1" applyFill="1" applyBorder="1" applyAlignment="1">
      <alignment horizontal="right" vertical="center"/>
    </xf>
    <xf numFmtId="10" fontId="47" fillId="8" borderId="14" xfId="15" applyNumberFormat="1" applyFont="1" applyFill="1" applyBorder="1" applyAlignment="1">
      <alignment horizontal="right" vertical="center"/>
    </xf>
    <xf numFmtId="3" fontId="47" fillId="8" borderId="17" xfId="15" applyNumberFormat="1" applyFont="1" applyFill="1" applyBorder="1" applyAlignment="1">
      <alignment horizontal="right" vertical="center"/>
    </xf>
    <xf numFmtId="10" fontId="47" fillId="8" borderId="17" xfId="15" applyNumberFormat="1" applyFont="1" applyFill="1" applyBorder="1" applyAlignment="1">
      <alignment horizontal="right" vertical="center"/>
    </xf>
    <xf numFmtId="3" fontId="48" fillId="6" borderId="7" xfId="15" applyNumberFormat="1" applyFont="1" applyFill="1" applyBorder="1" applyAlignment="1">
      <alignment horizontal="right" vertical="center"/>
    </xf>
    <xf numFmtId="3" fontId="48" fillId="0" borderId="7" xfId="15" applyNumberFormat="1" applyFont="1" applyFill="1" applyBorder="1" applyAlignment="1">
      <alignment horizontal="right" vertical="center"/>
    </xf>
    <xf numFmtId="10" fontId="48" fillId="0" borderId="7" xfId="15" applyNumberFormat="1" applyFont="1" applyFill="1" applyBorder="1" applyAlignment="1">
      <alignment horizontal="right" vertical="center"/>
    </xf>
    <xf numFmtId="0" fontId="12" fillId="4" borderId="4" xfId="15" applyFont="1" applyFill="1" applyBorder="1" applyAlignment="1">
      <alignment horizontal="center" vertical="center" wrapText="1"/>
    </xf>
    <xf numFmtId="0" fontId="34" fillId="4" borderId="4" xfId="15" applyFont="1" applyFill="1" applyBorder="1" applyAlignment="1">
      <alignment vertical="center" wrapText="1"/>
    </xf>
    <xf numFmtId="0" fontId="49" fillId="7" borderId="12" xfId="15" applyFont="1" applyFill="1" applyBorder="1" applyAlignment="1">
      <alignment horizontal="center" vertical="center" wrapText="1"/>
    </xf>
    <xf numFmtId="0" fontId="8" fillId="8" borderId="8" xfId="15" quotePrefix="1" applyFont="1" applyFill="1" applyBorder="1" applyAlignment="1">
      <alignment horizontal="left" vertical="center" wrapText="1"/>
    </xf>
    <xf numFmtId="49" fontId="31" fillId="6" borderId="18" xfId="15" applyNumberFormat="1" applyFont="1" applyFill="1" applyBorder="1" applyAlignment="1">
      <alignment horizontal="center" vertical="center"/>
    </xf>
    <xf numFmtId="0" fontId="31" fillId="0" borderId="5" xfId="15" applyFont="1" applyFill="1" applyBorder="1" applyAlignment="1">
      <alignment vertical="center" wrapText="1"/>
    </xf>
    <xf numFmtId="0" fontId="9" fillId="7" borderId="12" xfId="15" applyFont="1" applyFill="1" applyBorder="1" applyAlignment="1">
      <alignment horizontal="center" vertical="center" wrapText="1"/>
    </xf>
    <xf numFmtId="0" fontId="46" fillId="7" borderId="9" xfId="15" applyFont="1" applyFill="1" applyBorder="1" applyAlignment="1">
      <alignment vertical="center" wrapText="1"/>
    </xf>
    <xf numFmtId="0" fontId="49" fillId="7" borderId="4" xfId="15" applyFont="1" applyFill="1" applyBorder="1" applyAlignment="1">
      <alignment horizontal="center" vertical="center" wrapText="1"/>
    </xf>
    <xf numFmtId="0" fontId="51" fillId="0" borderId="0" xfId="15" applyFont="1" applyFill="1" applyBorder="1" applyAlignment="1">
      <alignment horizontal="left" vertical="center" wrapText="1"/>
    </xf>
    <xf numFmtId="49" fontId="44" fillId="6" borderId="6" xfId="15" applyNumberFormat="1" applyFont="1" applyFill="1" applyBorder="1" applyAlignment="1">
      <alignment horizontal="center" vertical="center" wrapText="1"/>
    </xf>
    <xf numFmtId="0" fontId="9" fillId="7" borderId="13" xfId="15" applyFont="1" applyFill="1" applyBorder="1" applyAlignment="1">
      <alignment horizontal="center" vertical="center" wrapText="1"/>
    </xf>
    <xf numFmtId="0" fontId="46" fillId="7" borderId="4" xfId="15" applyFont="1" applyFill="1" applyBorder="1" applyAlignment="1">
      <alignment horizontal="left" vertical="center" wrapText="1"/>
    </xf>
    <xf numFmtId="3" fontId="45" fillId="7" borderId="14" xfId="15" applyNumberFormat="1" applyFont="1" applyFill="1" applyBorder="1" applyAlignment="1">
      <alignment horizontal="right" vertical="center"/>
    </xf>
    <xf numFmtId="10" fontId="45" fillId="7" borderId="14" xfId="15" applyNumberFormat="1" applyFont="1" applyFill="1" applyBorder="1" applyAlignment="1">
      <alignment horizontal="right" vertical="center"/>
    </xf>
    <xf numFmtId="3" fontId="48" fillId="8" borderId="19" xfId="15" applyNumberFormat="1" applyFont="1" applyFill="1" applyBorder="1" applyAlignment="1">
      <alignment horizontal="right" vertical="center"/>
    </xf>
    <xf numFmtId="10" fontId="48" fillId="8" borderId="19" xfId="15" applyNumberFormat="1" applyFont="1" applyFill="1" applyBorder="1" applyAlignment="1">
      <alignment horizontal="right" vertical="center"/>
    </xf>
    <xf numFmtId="0" fontId="52" fillId="4" borderId="4" xfId="15" applyFont="1" applyFill="1" applyBorder="1" applyAlignment="1">
      <alignment horizontal="center" vertical="center" wrapText="1"/>
    </xf>
    <xf numFmtId="0" fontId="52" fillId="4" borderId="12" xfId="15" applyFont="1" applyFill="1" applyBorder="1" applyAlignment="1">
      <alignment horizontal="center" vertical="center" wrapText="1"/>
    </xf>
    <xf numFmtId="0" fontId="52" fillId="4" borderId="56" xfId="15" applyFont="1" applyFill="1" applyBorder="1" applyAlignment="1">
      <alignment vertical="center" wrapText="1"/>
    </xf>
    <xf numFmtId="0" fontId="7" fillId="7" borderId="9" xfId="15" quotePrefix="1" applyFont="1" applyFill="1" applyBorder="1" applyAlignment="1">
      <alignment horizontal="center" vertical="center" wrapText="1"/>
    </xf>
    <xf numFmtId="0" fontId="8" fillId="6" borderId="18" xfId="15" applyFont="1" applyFill="1" applyBorder="1" applyAlignment="1">
      <alignment horizontal="left" vertical="center" wrapText="1"/>
    </xf>
    <xf numFmtId="0" fontId="31" fillId="0" borderId="17" xfId="15" applyFont="1" applyFill="1" applyBorder="1" applyAlignment="1">
      <alignment horizontal="left" vertical="center" wrapText="1"/>
    </xf>
    <xf numFmtId="0" fontId="7" fillId="6" borderId="6" xfId="15" quotePrefix="1" applyFont="1" applyFill="1" applyBorder="1" applyAlignment="1">
      <alignment horizontal="center" vertical="center" wrapText="1"/>
    </xf>
    <xf numFmtId="0" fontId="52" fillId="4" borderId="4" xfId="15" applyFont="1" applyFill="1" applyBorder="1" applyAlignment="1">
      <alignment vertical="center" wrapText="1"/>
    </xf>
    <xf numFmtId="3" fontId="47" fillId="8" borderId="18" xfId="15" applyNumberFormat="1" applyFont="1" applyFill="1" applyBorder="1" applyAlignment="1">
      <alignment horizontal="right" vertical="center"/>
    </xf>
    <xf numFmtId="10" fontId="47" fillId="8" borderId="18" xfId="15" applyNumberFormat="1" applyFont="1" applyFill="1" applyBorder="1" applyAlignment="1">
      <alignment horizontal="right" vertical="center"/>
    </xf>
    <xf numFmtId="0" fontId="51" fillId="0" borderId="0" xfId="15" applyFont="1" applyFill="1" applyBorder="1" applyAlignment="1">
      <alignment vertical="center" wrapText="1"/>
    </xf>
    <xf numFmtId="0" fontId="49" fillId="4" borderId="4" xfId="15" applyFont="1" applyFill="1" applyBorder="1" applyAlignment="1">
      <alignment horizontal="center" vertical="center" wrapText="1"/>
    </xf>
    <xf numFmtId="0" fontId="52" fillId="4" borderId="9" xfId="15" applyFont="1" applyFill="1" applyBorder="1" applyAlignment="1">
      <alignment vertical="center" wrapText="1"/>
    </xf>
    <xf numFmtId="0" fontId="49" fillId="7" borderId="9" xfId="15" applyFont="1" applyFill="1" applyBorder="1" applyAlignment="1">
      <alignment horizontal="center" vertical="center" wrapText="1"/>
    </xf>
    <xf numFmtId="0" fontId="12" fillId="4" borderId="4" xfId="15" applyFont="1" applyFill="1" applyBorder="1" applyAlignment="1">
      <alignment vertical="center" wrapText="1"/>
    </xf>
    <xf numFmtId="0" fontId="12" fillId="4" borderId="9" xfId="15" applyFont="1" applyFill="1" applyBorder="1" applyAlignment="1">
      <alignment horizontal="left" vertical="center" wrapText="1"/>
    </xf>
    <xf numFmtId="0" fontId="55" fillId="0" borderId="0" xfId="15" applyFont="1"/>
    <xf numFmtId="0" fontId="49" fillId="7" borderId="20" xfId="15" applyFont="1" applyFill="1" applyBorder="1" applyAlignment="1">
      <alignment horizontal="center" vertical="center" wrapText="1"/>
    </xf>
    <xf numFmtId="49" fontId="7" fillId="6" borderId="17" xfId="15" applyNumberFormat="1" applyFont="1" applyFill="1" applyBorder="1" applyAlignment="1">
      <alignment horizontal="center" vertical="center" wrapText="1"/>
    </xf>
    <xf numFmtId="0" fontId="53" fillId="4" borderId="13" xfId="15" applyFont="1" applyFill="1" applyBorder="1" applyAlignment="1">
      <alignment vertical="center" wrapText="1"/>
    </xf>
    <xf numFmtId="3" fontId="45" fillId="3" borderId="19" xfId="15" applyNumberFormat="1" applyFont="1" applyFill="1" applyBorder="1" applyAlignment="1">
      <alignment horizontal="right" vertical="center"/>
    </xf>
    <xf numFmtId="10" fontId="45" fillId="3" borderId="19" xfId="15" applyNumberFormat="1" applyFont="1" applyFill="1" applyBorder="1" applyAlignment="1">
      <alignment horizontal="right" vertical="center"/>
    </xf>
    <xf numFmtId="0" fontId="50" fillId="7" borderId="13" xfId="15" applyFont="1" applyFill="1" applyBorder="1" applyAlignment="1">
      <alignment vertical="center" wrapText="1"/>
    </xf>
    <xf numFmtId="0" fontId="9" fillId="7" borderId="4" xfId="15" applyFont="1" applyFill="1" applyBorder="1" applyAlignment="1">
      <alignment horizontal="center" vertical="center" wrapText="1"/>
    </xf>
    <xf numFmtId="0" fontId="46" fillId="7" borderId="27" xfId="15" quotePrefix="1" applyFont="1" applyFill="1" applyBorder="1" applyAlignment="1">
      <alignment horizontal="left" vertical="center" wrapText="1"/>
    </xf>
    <xf numFmtId="0" fontId="8" fillId="7" borderId="9" xfId="15" quotePrefix="1" applyFont="1" applyFill="1" applyBorder="1" applyAlignment="1">
      <alignment horizontal="left" vertical="center" wrapText="1"/>
    </xf>
    <xf numFmtId="0" fontId="8" fillId="6" borderId="7" xfId="15" applyFont="1" applyFill="1" applyBorder="1" applyAlignment="1">
      <alignment horizontal="left" vertical="center"/>
    </xf>
    <xf numFmtId="10" fontId="48" fillId="6" borderId="7" xfId="15" applyNumberFormat="1" applyFont="1" applyFill="1" applyBorder="1" applyAlignment="1">
      <alignment horizontal="right" vertical="center"/>
    </xf>
    <xf numFmtId="0" fontId="46" fillId="7" borderId="4" xfId="15" quotePrefix="1" applyFont="1" applyFill="1" applyBorder="1" applyAlignment="1">
      <alignment horizontal="left" vertical="center" wrapText="1"/>
    </xf>
    <xf numFmtId="0" fontId="31" fillId="0" borderId="0" xfId="15" quotePrefix="1" applyFont="1" applyFill="1" applyBorder="1" applyAlignment="1">
      <alignment horizontal="left" vertical="center" wrapText="1"/>
    </xf>
    <xf numFmtId="10" fontId="48" fillId="6" borderId="18" xfId="15" applyNumberFormat="1" applyFont="1" applyFill="1" applyBorder="1" applyAlignment="1">
      <alignment horizontal="right" vertical="center"/>
    </xf>
    <xf numFmtId="0" fontId="7" fillId="6" borderId="7" xfId="15" quotePrefix="1" applyFont="1" applyFill="1" applyBorder="1" applyAlignment="1">
      <alignment horizontal="center" vertical="center" wrapText="1"/>
    </xf>
    <xf numFmtId="0" fontId="52" fillId="4" borderId="4" xfId="1" applyFont="1" applyFill="1" applyBorder="1" applyAlignment="1">
      <alignment horizontal="center" vertical="center" wrapText="1"/>
    </xf>
    <xf numFmtId="0" fontId="52" fillId="4" borderId="12" xfId="1" applyFont="1" applyFill="1" applyBorder="1" applyAlignment="1">
      <alignment horizontal="center" vertical="center" wrapText="1"/>
    </xf>
    <xf numFmtId="0" fontId="53" fillId="4" borderId="4" xfId="1" applyFont="1" applyFill="1" applyBorder="1" applyAlignment="1">
      <alignment vertical="center" wrapText="1"/>
    </xf>
    <xf numFmtId="0" fontId="49" fillId="7" borderId="12" xfId="1" applyFont="1" applyFill="1" applyBorder="1" applyAlignment="1">
      <alignment horizontal="center" vertical="center" wrapText="1"/>
    </xf>
    <xf numFmtId="0" fontId="50" fillId="7" borderId="4" xfId="1" applyFont="1" applyFill="1" applyBorder="1" applyAlignment="1">
      <alignment vertical="center" wrapText="1"/>
    </xf>
    <xf numFmtId="3" fontId="48" fillId="6" borderId="17" xfId="15" applyNumberFormat="1" applyFont="1" applyFill="1" applyBorder="1" applyAlignment="1">
      <alignment horizontal="right" vertical="center"/>
    </xf>
    <xf numFmtId="0" fontId="49" fillId="7" borderId="20" xfId="1" applyFont="1" applyFill="1" applyBorder="1" applyAlignment="1">
      <alignment horizontal="center" vertical="center" wrapText="1"/>
    </xf>
    <xf numFmtId="0" fontId="50" fillId="7" borderId="14" xfId="1" applyFont="1" applyFill="1" applyBorder="1" applyAlignment="1">
      <alignment vertical="center" wrapText="1"/>
    </xf>
    <xf numFmtId="0" fontId="8" fillId="8" borderId="6" xfId="1" applyFont="1" applyFill="1" applyBorder="1" applyAlignment="1">
      <alignment horizontal="left" vertical="center" wrapText="1"/>
    </xf>
    <xf numFmtId="0" fontId="50" fillId="7" borderId="12" xfId="1" applyFont="1" applyFill="1" applyBorder="1" applyAlignment="1">
      <alignment horizontal="center" vertical="center" wrapText="1"/>
    </xf>
    <xf numFmtId="0" fontId="50" fillId="7" borderId="9" xfId="1" applyFont="1" applyFill="1" applyBorder="1" applyAlignment="1">
      <alignment vertical="center" wrapText="1"/>
    </xf>
    <xf numFmtId="0" fontId="53" fillId="4" borderId="12" xfId="1" applyFont="1" applyFill="1" applyBorder="1" applyAlignment="1">
      <alignment horizontal="center" vertical="center" wrapText="1"/>
    </xf>
    <xf numFmtId="0" fontId="53" fillId="4" borderId="9" xfId="1" applyFont="1" applyFill="1" applyBorder="1" applyAlignment="1">
      <alignment vertical="center" wrapText="1"/>
    </xf>
    <xf numFmtId="0" fontId="46" fillId="7" borderId="12" xfId="1" applyFont="1" applyFill="1" applyBorder="1" applyAlignment="1">
      <alignment horizontal="center" vertical="center" wrapText="1"/>
    </xf>
    <xf numFmtId="0" fontId="46" fillId="7" borderId="4" xfId="1" applyFont="1" applyFill="1" applyBorder="1" applyAlignment="1">
      <alignment horizontal="left" vertical="center" wrapText="1"/>
    </xf>
    <xf numFmtId="0" fontId="46" fillId="7" borderId="9" xfId="1" applyFont="1" applyFill="1" applyBorder="1" applyAlignment="1">
      <alignment horizontal="left" vertical="center" wrapText="1"/>
    </xf>
    <xf numFmtId="0" fontId="31" fillId="6" borderId="55" xfId="1" applyFont="1" applyFill="1" applyBorder="1" applyAlignment="1">
      <alignment horizontal="left" vertical="center" wrapText="1"/>
    </xf>
    <xf numFmtId="0" fontId="56" fillId="6" borderId="7" xfId="1" applyFont="1" applyFill="1" applyBorder="1" applyAlignment="1">
      <alignment horizontal="left" vertical="center" wrapText="1"/>
    </xf>
    <xf numFmtId="0" fontId="50" fillId="7" borderId="4" xfId="1" applyFont="1" applyFill="1" applyBorder="1" applyAlignment="1">
      <alignment horizontal="center" vertical="center" wrapText="1"/>
    </xf>
    <xf numFmtId="0" fontId="50" fillId="7" borderId="14" xfId="1" applyFont="1" applyFill="1" applyBorder="1" applyAlignment="1">
      <alignment horizontal="center" vertical="center" wrapText="1"/>
    </xf>
    <xf numFmtId="0" fontId="50" fillId="7" borderId="56" xfId="1" applyFont="1" applyFill="1" applyBorder="1" applyAlignment="1">
      <alignment vertical="center" wrapText="1"/>
    </xf>
    <xf numFmtId="0" fontId="31" fillId="0" borderId="55" xfId="1" applyFont="1" applyFill="1" applyBorder="1" applyAlignment="1">
      <alignment horizontal="left" vertical="center" wrapText="1"/>
    </xf>
    <xf numFmtId="0" fontId="31" fillId="0" borderId="55" xfId="1" quotePrefix="1" applyFont="1" applyFill="1" applyBorder="1" applyAlignment="1">
      <alignment horizontal="left" vertical="center" wrapText="1"/>
    </xf>
    <xf numFmtId="49" fontId="31" fillId="6" borderId="6" xfId="1" applyNumberFormat="1" applyFont="1" applyFill="1" applyBorder="1" applyAlignment="1">
      <alignment horizontal="center" vertical="center" wrapText="1"/>
    </xf>
    <xf numFmtId="0" fontId="31" fillId="0" borderId="18" xfId="1" quotePrefix="1" applyFont="1" applyFill="1" applyBorder="1" applyAlignment="1">
      <alignment horizontal="left" vertical="center" wrapText="1"/>
    </xf>
    <xf numFmtId="0" fontId="31" fillId="0" borderId="20" xfId="1" quotePrefix="1" applyFont="1" applyFill="1" applyBorder="1" applyAlignment="1">
      <alignment horizontal="left" vertical="center" wrapText="1"/>
    </xf>
    <xf numFmtId="0" fontId="31" fillId="6" borderId="56" xfId="1" applyFont="1" applyFill="1" applyBorder="1" applyAlignment="1">
      <alignment horizontal="center" vertical="center" wrapText="1"/>
    </xf>
    <xf numFmtId="3" fontId="48" fillId="6" borderId="14" xfId="15" applyNumberFormat="1" applyFont="1" applyFill="1" applyBorder="1" applyAlignment="1">
      <alignment horizontal="right" vertical="center"/>
    </xf>
    <xf numFmtId="3" fontId="48" fillId="0" borderId="14" xfId="15" applyNumberFormat="1" applyFont="1" applyFill="1" applyBorder="1" applyAlignment="1">
      <alignment horizontal="right" vertical="center"/>
    </xf>
    <xf numFmtId="10" fontId="48" fillId="0" borderId="14" xfId="15" applyNumberFormat="1" applyFont="1" applyFill="1" applyBorder="1" applyAlignment="1">
      <alignment horizontal="right" vertical="center"/>
    </xf>
    <xf numFmtId="0" fontId="7" fillId="0" borderId="55" xfId="1" quotePrefix="1" applyFont="1" applyFill="1" applyBorder="1" applyAlignment="1">
      <alignment vertical="center" wrapText="1"/>
    </xf>
    <xf numFmtId="0" fontId="56" fillId="6" borderId="14" xfId="1" applyFont="1" applyFill="1" applyBorder="1" applyAlignment="1">
      <alignment horizontal="left" vertical="center" wrapText="1"/>
    </xf>
    <xf numFmtId="0" fontId="31" fillId="0" borderId="56" xfId="1" quotePrefix="1" applyFont="1" applyFill="1" applyBorder="1" applyAlignment="1">
      <alignment horizontal="left" vertical="center" wrapText="1"/>
    </xf>
    <xf numFmtId="0" fontId="34" fillId="4" borderId="4" xfId="15" applyFont="1" applyFill="1" applyBorder="1" applyAlignment="1">
      <alignment horizontal="center"/>
    </xf>
    <xf numFmtId="0" fontId="53" fillId="4" borderId="4" xfId="1" applyFont="1" applyFill="1" applyBorder="1" applyAlignment="1">
      <alignment horizontal="center" vertical="center" wrapText="1"/>
    </xf>
    <xf numFmtId="0" fontId="53" fillId="7" borderId="9" xfId="1" applyFont="1" applyFill="1" applyBorder="1" applyAlignment="1">
      <alignment horizontal="center" vertical="center" wrapText="1"/>
    </xf>
    <xf numFmtId="0" fontId="53" fillId="7" borderId="9" xfId="1" applyFont="1" applyFill="1" applyBorder="1" applyAlignment="1">
      <alignment vertical="center" wrapText="1"/>
    </xf>
    <xf numFmtId="0" fontId="31" fillId="0" borderId="0" xfId="1" applyFont="1" applyFill="1" applyBorder="1" applyAlignment="1">
      <alignment horizontal="left" vertical="center" wrapText="1"/>
    </xf>
    <xf numFmtId="0" fontId="51" fillId="0" borderId="55" xfId="1" applyFont="1" applyFill="1" applyBorder="1" applyAlignment="1">
      <alignment vertical="center" wrapText="1"/>
    </xf>
    <xf numFmtId="0" fontId="50" fillId="7" borderId="20" xfId="1" applyFont="1" applyFill="1" applyBorder="1" applyAlignment="1">
      <alignment horizontal="center" vertical="center" wrapText="1"/>
    </xf>
    <xf numFmtId="0" fontId="34" fillId="4" borderId="12" xfId="1" applyFont="1" applyFill="1" applyBorder="1" applyAlignment="1">
      <alignment horizontal="center" vertical="center" wrapText="1"/>
    </xf>
    <xf numFmtId="0" fontId="34" fillId="4" borderId="4" xfId="1" applyFont="1" applyFill="1" applyBorder="1" applyAlignment="1">
      <alignment vertical="center" wrapText="1"/>
    </xf>
    <xf numFmtId="0" fontId="34" fillId="4" borderId="9" xfId="1" applyFont="1" applyFill="1" applyBorder="1" applyAlignment="1">
      <alignment vertical="center" wrapText="1"/>
    </xf>
    <xf numFmtId="0" fontId="56" fillId="6" borderId="7" xfId="1" applyFont="1" applyFill="1" applyBorder="1" applyAlignment="1">
      <alignment horizontal="center" vertical="center" wrapText="1"/>
    </xf>
    <xf numFmtId="3" fontId="57" fillId="2" borderId="4" xfId="15" applyNumberFormat="1" applyFont="1" applyFill="1" applyBorder="1" applyAlignment="1">
      <alignment horizontal="right" vertical="center"/>
    </xf>
    <xf numFmtId="10" fontId="57" fillId="2" borderId="4" xfId="15" applyNumberFormat="1" applyFont="1" applyFill="1" applyBorder="1" applyAlignment="1">
      <alignment horizontal="right" vertical="center"/>
    </xf>
    <xf numFmtId="0" fontId="32" fillId="0" borderId="0" xfId="15" applyBorder="1"/>
    <xf numFmtId="0" fontId="59" fillId="0" borderId="0" xfId="10" applyNumberFormat="1" applyFont="1" applyFill="1" applyBorder="1" applyAlignment="1" applyProtection="1">
      <alignment horizontal="left" vertical="center"/>
      <protection locked="0"/>
    </xf>
    <xf numFmtId="10" fontId="59" fillId="0" borderId="0" xfId="10" applyNumberFormat="1" applyFont="1" applyFill="1" applyBorder="1" applyAlignment="1" applyProtection="1">
      <alignment horizontal="right" vertical="center"/>
      <protection locked="0"/>
    </xf>
    <xf numFmtId="4" fontId="59" fillId="0" borderId="0" xfId="10" applyNumberFormat="1" applyFont="1" applyFill="1" applyBorder="1" applyAlignment="1" applyProtection="1">
      <alignment horizontal="left" vertical="center"/>
      <protection locked="0"/>
    </xf>
    <xf numFmtId="0" fontId="60" fillId="0" borderId="0" xfId="10" applyNumberFormat="1" applyFont="1" applyFill="1" applyBorder="1" applyAlignment="1" applyProtection="1">
      <alignment horizontal="left" vertical="center"/>
      <protection locked="0"/>
    </xf>
    <xf numFmtId="4" fontId="60" fillId="0" borderId="0" xfId="10" applyNumberFormat="1" applyFont="1" applyFill="1" applyBorder="1" applyAlignment="1" applyProtection="1">
      <alignment horizontal="left" vertical="center"/>
      <protection locked="0"/>
    </xf>
    <xf numFmtId="49" fontId="61" fillId="11" borderId="9" xfId="10" applyNumberFormat="1" applyFont="1" applyFill="1" applyBorder="1" applyAlignment="1" applyProtection="1">
      <alignment horizontal="center" vertical="center" wrapText="1"/>
      <protection locked="0"/>
    </xf>
    <xf numFmtId="49" fontId="61" fillId="11" borderId="4" xfId="10" applyNumberFormat="1" applyFont="1" applyFill="1" applyBorder="1" applyAlignment="1" applyProtection="1">
      <alignment horizontal="center" vertical="center" wrapText="1"/>
      <protection locked="0"/>
    </xf>
    <xf numFmtId="49" fontId="61" fillId="11" borderId="12" xfId="10" applyNumberFormat="1" applyFont="1" applyFill="1" applyBorder="1" applyAlignment="1" applyProtection="1">
      <alignment horizontal="center" vertical="center" wrapText="1"/>
      <protection locked="0"/>
    </xf>
    <xf numFmtId="0" fontId="61" fillId="3" borderId="4" xfId="10" applyNumberFormat="1" applyFont="1" applyFill="1" applyBorder="1" applyAlignment="1" applyProtection="1">
      <alignment horizontal="center" vertical="center" wrapText="1"/>
      <protection locked="0"/>
    </xf>
    <xf numFmtId="49" fontId="62" fillId="10" borderId="9" xfId="10" applyNumberFormat="1" applyFont="1" applyFill="1" applyBorder="1" applyAlignment="1" applyProtection="1">
      <alignment horizontal="center" vertical="center" wrapText="1"/>
      <protection locked="0"/>
    </xf>
    <xf numFmtId="49" fontId="62" fillId="10" borderId="4" xfId="10" applyNumberFormat="1" applyFont="1" applyFill="1" applyBorder="1" applyAlignment="1" applyProtection="1">
      <alignment horizontal="center" vertical="center" wrapText="1"/>
      <protection locked="0"/>
    </xf>
    <xf numFmtId="49" fontId="62" fillId="10" borderId="12" xfId="10" applyNumberFormat="1" applyFont="1" applyFill="1" applyBorder="1" applyAlignment="1" applyProtection="1">
      <alignment horizontal="center" vertical="center" wrapText="1"/>
      <protection locked="0"/>
    </xf>
    <xf numFmtId="0" fontId="62" fillId="0" borderId="4" xfId="10" applyNumberFormat="1" applyFont="1" applyFill="1" applyBorder="1" applyAlignment="1" applyProtection="1">
      <alignment horizontal="center" vertical="center" wrapText="1"/>
      <protection locked="0"/>
    </xf>
    <xf numFmtId="49" fontId="62" fillId="12" borderId="9" xfId="10" applyNumberFormat="1" applyFont="1" applyFill="1" applyBorder="1" applyAlignment="1" applyProtection="1">
      <alignment horizontal="center" vertical="center" wrapText="1"/>
      <protection locked="0"/>
    </xf>
    <xf numFmtId="49" fontId="62" fillId="12" borderId="19" xfId="10" applyNumberFormat="1" applyFont="1" applyFill="1" applyBorder="1" applyAlignment="1" applyProtection="1">
      <alignment horizontal="center" vertical="center" wrapText="1"/>
      <protection locked="0"/>
    </xf>
    <xf numFmtId="3" fontId="62" fillId="2" borderId="19" xfId="10" applyNumberFormat="1" applyFont="1" applyFill="1" applyBorder="1" applyAlignment="1" applyProtection="1">
      <alignment horizontal="right" vertical="center"/>
      <protection locked="0"/>
    </xf>
    <xf numFmtId="49" fontId="59" fillId="10" borderId="6" xfId="10" applyNumberFormat="1" applyFont="1" applyFill="1" applyBorder="1" applyAlignment="1" applyProtection="1">
      <alignment horizontal="center" vertical="center" wrapText="1"/>
      <protection locked="0"/>
    </xf>
    <xf numFmtId="3" fontId="62" fillId="0" borderId="18" xfId="10" applyNumberFormat="1" applyFont="1" applyFill="1" applyBorder="1" applyAlignment="1" applyProtection="1">
      <alignment horizontal="right" vertical="center"/>
      <protection locked="0"/>
    </xf>
    <xf numFmtId="49" fontId="59" fillId="10" borderId="17" xfId="10" applyNumberFormat="1" applyFont="1" applyFill="1" applyBorder="1" applyAlignment="1" applyProtection="1">
      <alignment vertical="center" wrapText="1"/>
      <protection locked="0"/>
    </xf>
    <xf numFmtId="3" fontId="59" fillId="0" borderId="17" xfId="10" applyNumberFormat="1" applyFont="1" applyFill="1" applyBorder="1" applyAlignment="1" applyProtection="1">
      <alignment horizontal="right" vertical="center"/>
      <protection locked="0"/>
    </xf>
    <xf numFmtId="3" fontId="59" fillId="0" borderId="7" xfId="10" applyNumberFormat="1" applyFont="1" applyFill="1" applyBorder="1" applyAlignment="1" applyProtection="1">
      <alignment horizontal="right" vertical="center"/>
      <protection locked="0"/>
    </xf>
    <xf numFmtId="49" fontId="59" fillId="10" borderId="0" xfId="10" applyNumberFormat="1" applyFont="1" applyFill="1" applyBorder="1" applyAlignment="1" applyProtection="1">
      <alignment vertical="center" wrapText="1"/>
      <protection locked="0"/>
    </xf>
    <xf numFmtId="49" fontId="59" fillId="10" borderId="10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04" xfId="10" applyNumberFormat="1" applyFont="1" applyFill="1" applyBorder="1" applyAlignment="1" applyProtection="1">
      <alignment horizontal="center" vertical="center" wrapText="1"/>
      <protection locked="0"/>
    </xf>
    <xf numFmtId="3" fontId="63" fillId="14" borderId="105" xfId="10" applyNumberFormat="1" applyFont="1" applyFill="1" applyBorder="1" applyAlignment="1" applyProtection="1">
      <alignment horizontal="right" vertical="center"/>
      <protection locked="0"/>
    </xf>
    <xf numFmtId="0" fontId="0" fillId="0" borderId="17" xfId="0" applyBorder="1" applyAlignment="1">
      <alignment vertical="center"/>
    </xf>
    <xf numFmtId="3" fontId="59" fillId="10" borderId="17" xfId="10" applyNumberFormat="1" applyFont="1" applyFill="1" applyBorder="1" applyAlignment="1" applyProtection="1">
      <alignment horizontal="right" vertical="center" wrapText="1"/>
      <protection locked="0"/>
    </xf>
    <xf numFmtId="49" fontId="63" fillId="13" borderId="4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106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107" xfId="10" applyNumberFormat="1" applyFont="1" applyFill="1" applyBorder="1" applyAlignment="1" applyProtection="1">
      <alignment horizontal="left" vertical="center" wrapText="1"/>
      <protection locked="0"/>
    </xf>
    <xf numFmtId="3" fontId="63" fillId="14" borderId="4" xfId="10" applyNumberFormat="1" applyFont="1" applyFill="1" applyBorder="1" applyAlignment="1" applyProtection="1">
      <alignment horizontal="right" vertical="center"/>
      <protection locked="0"/>
    </xf>
    <xf numFmtId="49" fontId="59" fillId="0" borderId="17" xfId="10" applyNumberFormat="1" applyFont="1" applyFill="1" applyBorder="1" applyAlignment="1" applyProtection="1">
      <alignment vertical="center" wrapText="1"/>
      <protection locked="0"/>
    </xf>
    <xf numFmtId="3" fontId="59" fillId="0" borderId="18" xfId="10" applyNumberFormat="1" applyFont="1" applyFill="1" applyBorder="1" applyAlignment="1" applyProtection="1">
      <alignment horizontal="right" vertical="center"/>
      <protection locked="0"/>
    </xf>
    <xf numFmtId="49" fontId="62" fillId="12" borderId="4" xfId="10" applyNumberFormat="1" applyFont="1" applyFill="1" applyBorder="1" applyAlignment="1" applyProtection="1">
      <alignment horizontal="center" vertical="center" wrapText="1"/>
      <protection locked="0"/>
    </xf>
    <xf numFmtId="49" fontId="62" fillId="12" borderId="106" xfId="10" applyNumberFormat="1" applyFont="1" applyFill="1" applyBorder="1" applyAlignment="1" applyProtection="1">
      <alignment horizontal="center" vertical="center" wrapText="1"/>
      <protection locked="0"/>
    </xf>
    <xf numFmtId="49" fontId="62" fillId="12" borderId="107" xfId="10" applyNumberFormat="1" applyFont="1" applyFill="1" applyBorder="1" applyAlignment="1" applyProtection="1">
      <alignment horizontal="left" vertical="center" wrapText="1"/>
      <protection locked="0"/>
    </xf>
    <xf numFmtId="3" fontId="62" fillId="2" borderId="4" xfId="10" applyNumberFormat="1" applyFont="1" applyFill="1" applyBorder="1" applyAlignment="1" applyProtection="1">
      <alignment horizontal="right" vertical="center"/>
      <protection locked="0"/>
    </xf>
    <xf numFmtId="49" fontId="62" fillId="12" borderId="110" xfId="10" applyNumberFormat="1" applyFont="1" applyFill="1" applyBorder="1" applyAlignment="1" applyProtection="1">
      <alignment horizontal="center" vertical="center" wrapText="1"/>
      <protection locked="0"/>
    </xf>
    <xf numFmtId="49" fontId="62" fillId="12" borderId="111" xfId="10" applyNumberFormat="1" applyFont="1" applyFill="1" applyBorder="1" applyAlignment="1" applyProtection="1">
      <alignment horizontal="left" vertical="center" wrapText="1"/>
      <protection locked="0"/>
    </xf>
    <xf numFmtId="3" fontId="59" fillId="10" borderId="18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5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8" xfId="10" applyNumberFormat="1" applyFont="1" applyFill="1" applyBorder="1" applyAlignment="1" applyProtection="1">
      <alignment vertical="center" wrapText="1"/>
      <protection locked="0"/>
    </xf>
    <xf numFmtId="49" fontId="63" fillId="15" borderId="17" xfId="10" applyNumberFormat="1" applyFont="1" applyFill="1" applyBorder="1" applyAlignment="1" applyProtection="1">
      <alignment horizontal="center" vertical="center" wrapText="1"/>
      <protection locked="0"/>
    </xf>
    <xf numFmtId="3" fontId="62" fillId="14" borderId="4" xfId="10" applyNumberFormat="1" applyFont="1" applyFill="1" applyBorder="1" applyAlignment="1" applyProtection="1">
      <alignment horizontal="right" vertical="center"/>
      <protection locked="0"/>
    </xf>
    <xf numFmtId="3" fontId="64" fillId="0" borderId="18" xfId="10" applyNumberFormat="1" applyFont="1" applyFill="1" applyBorder="1" applyAlignment="1" applyProtection="1">
      <alignment horizontal="right" vertical="center"/>
      <protection locked="0"/>
    </xf>
    <xf numFmtId="4" fontId="59" fillId="0" borderId="6" xfId="10" applyNumberFormat="1" applyFont="1" applyFill="1" applyBorder="1" applyAlignment="1" applyProtection="1">
      <alignment horizontal="left" vertical="center"/>
      <protection locked="0"/>
    </xf>
    <xf numFmtId="3" fontId="62" fillId="6" borderId="8" xfId="10" applyNumberFormat="1" applyFont="1" applyFill="1" applyBorder="1" applyAlignment="1" applyProtection="1">
      <alignment horizontal="right" vertical="center"/>
      <protection locked="0"/>
    </xf>
    <xf numFmtId="3" fontId="62" fillId="14" borderId="14" xfId="10" applyNumberFormat="1" applyFont="1" applyFill="1" applyBorder="1" applyAlignment="1" applyProtection="1">
      <alignment horizontal="right" vertical="center"/>
      <protection locked="0"/>
    </xf>
    <xf numFmtId="3" fontId="62" fillId="6" borderId="18" xfId="10" applyNumberFormat="1" applyFont="1" applyFill="1" applyBorder="1" applyAlignment="1" applyProtection="1">
      <alignment horizontal="right" vertical="center"/>
      <protection locked="0"/>
    </xf>
    <xf numFmtId="49" fontId="59" fillId="15" borderId="0" xfId="10" applyNumberFormat="1" applyFont="1" applyFill="1" applyBorder="1" applyAlignment="1" applyProtection="1">
      <alignment horizontal="left" vertical="center" wrapText="1"/>
      <protection locked="0"/>
    </xf>
    <xf numFmtId="3" fontId="59" fillId="6" borderId="7" xfId="10" applyNumberFormat="1" applyFont="1" applyFill="1" applyBorder="1" applyAlignment="1" applyProtection="1">
      <alignment horizontal="right" vertical="center"/>
      <protection locked="0"/>
    </xf>
    <xf numFmtId="0" fontId="64" fillId="0" borderId="0" xfId="10" applyNumberFormat="1" applyFont="1" applyFill="1" applyBorder="1" applyAlignment="1" applyProtection="1">
      <alignment horizontal="left" vertical="center"/>
      <protection locked="0"/>
    </xf>
    <xf numFmtId="2" fontId="59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14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110" xfId="10" applyNumberFormat="1" applyFont="1" applyFill="1" applyBorder="1" applyAlignment="1" applyProtection="1">
      <alignment horizontal="center" vertical="center" wrapText="1"/>
      <protection locked="0"/>
    </xf>
    <xf numFmtId="49" fontId="62" fillId="15" borderId="6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19" xfId="10" applyNumberFormat="1" applyFont="1" applyFill="1" applyBorder="1" applyAlignment="1" applyProtection="1">
      <alignment horizontal="center" vertical="center" wrapText="1"/>
      <protection locked="0"/>
    </xf>
    <xf numFmtId="3" fontId="62" fillId="6" borderId="19" xfId="10" applyNumberFormat="1" applyFont="1" applyFill="1" applyBorder="1" applyAlignment="1" applyProtection="1">
      <alignment horizontal="right" vertical="center"/>
      <protection locked="0"/>
    </xf>
    <xf numFmtId="49" fontId="62" fillId="0" borderId="14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114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0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17" xfId="10" applyNumberFormat="1" applyFont="1" applyFill="1" applyBorder="1" applyAlignment="1" applyProtection="1">
      <alignment vertical="center"/>
      <protection locked="0"/>
    </xf>
    <xf numFmtId="49" fontId="59" fillId="10" borderId="115" xfId="10" applyNumberFormat="1" applyFont="1" applyFill="1" applyBorder="1" applyAlignment="1" applyProtection="1">
      <alignment vertical="center" wrapText="1"/>
      <protection locked="0"/>
    </xf>
    <xf numFmtId="49" fontId="59" fillId="10" borderId="116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>
      <alignment vertical="center"/>
    </xf>
    <xf numFmtId="3" fontId="59" fillId="0" borderId="7" xfId="10" applyNumberFormat="1" applyFont="1" applyFill="1" applyBorder="1" applyAlignment="1" applyProtection="1">
      <alignment vertical="center"/>
      <protection locked="0"/>
    </xf>
    <xf numFmtId="3" fontId="62" fillId="16" borderId="4" xfId="10" applyNumberFormat="1" applyFont="1" applyFill="1" applyBorder="1" applyAlignment="1" applyProtection="1">
      <alignment vertical="center"/>
      <protection locked="0"/>
    </xf>
    <xf numFmtId="3" fontId="63" fillId="14" borderId="4" xfId="10" applyNumberFormat="1" applyFont="1" applyFill="1" applyBorder="1" applyAlignment="1" applyProtection="1">
      <alignment vertical="center"/>
      <protection locked="0"/>
    </xf>
    <xf numFmtId="3" fontId="62" fillId="0" borderId="8" xfId="10" applyNumberFormat="1" applyFont="1" applyFill="1" applyBorder="1" applyAlignment="1" applyProtection="1">
      <alignment vertical="center"/>
      <protection locked="0"/>
    </xf>
    <xf numFmtId="3" fontId="59" fillId="0" borderId="18" xfId="10" applyNumberFormat="1" applyFont="1" applyFill="1" applyBorder="1" applyAlignment="1" applyProtection="1">
      <alignment vertical="center"/>
      <protection locked="0"/>
    </xf>
    <xf numFmtId="49" fontId="63" fillId="14" borderId="4" xfId="10" applyNumberFormat="1" applyFont="1" applyFill="1" applyBorder="1" applyAlignment="1" applyProtection="1">
      <alignment horizontal="center" vertical="center" wrapText="1"/>
      <protection locked="0"/>
    </xf>
    <xf numFmtId="49" fontId="63" fillId="14" borderId="106" xfId="10" applyNumberFormat="1" applyFont="1" applyFill="1" applyBorder="1" applyAlignment="1" applyProtection="1">
      <alignment horizontal="center" vertical="center" wrapText="1"/>
      <protection locked="0"/>
    </xf>
    <xf numFmtId="49" fontId="63" fillId="14" borderId="10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5" xfId="10" applyNumberFormat="1" applyFont="1" applyFill="1" applyBorder="1" applyAlignment="1" applyProtection="1">
      <alignment horizontal="left" vertical="center" wrapText="1"/>
      <protection locked="0"/>
    </xf>
    <xf numFmtId="3" fontId="62" fillId="0" borderId="18" xfId="10" applyNumberFormat="1" applyFont="1" applyFill="1" applyBorder="1" applyAlignment="1" applyProtection="1">
      <alignment vertical="center"/>
      <protection locked="0"/>
    </xf>
    <xf numFmtId="10" fontId="63" fillId="14" borderId="12" xfId="10" applyNumberFormat="1" applyFont="1" applyFill="1" applyBorder="1" applyAlignment="1" applyProtection="1">
      <alignment horizontal="right" vertical="center"/>
      <protection locked="0"/>
    </xf>
    <xf numFmtId="3" fontId="62" fillId="0" borderId="17" xfId="10" applyNumberFormat="1" applyFont="1" applyFill="1" applyBorder="1" applyAlignment="1" applyProtection="1">
      <alignment vertical="center"/>
      <protection locked="0"/>
    </xf>
    <xf numFmtId="10" fontId="59" fillId="0" borderId="5" xfId="10" applyNumberFormat="1" applyFont="1" applyFill="1" applyBorder="1" applyAlignment="1" applyProtection="1">
      <alignment horizontal="right" vertical="center"/>
      <protection locked="0"/>
    </xf>
    <xf numFmtId="3" fontId="59" fillId="0" borderId="14" xfId="10" applyNumberFormat="1" applyFont="1" applyFill="1" applyBorder="1" applyAlignment="1" applyProtection="1">
      <alignment vertical="center"/>
      <protection locked="0"/>
    </xf>
    <xf numFmtId="3" fontId="59" fillId="0" borderId="121" xfId="10" applyNumberFormat="1" applyFont="1" applyFill="1" applyBorder="1" applyAlignment="1" applyProtection="1">
      <alignment horizontal="right" vertical="center"/>
      <protection locked="0"/>
    </xf>
    <xf numFmtId="3" fontId="63" fillId="14" borderId="122" xfId="10" applyNumberFormat="1" applyFont="1" applyFill="1" applyBorder="1" applyAlignment="1" applyProtection="1">
      <alignment horizontal="right" vertical="center"/>
      <protection locked="0"/>
    </xf>
    <xf numFmtId="3" fontId="62" fillId="0" borderId="123" xfId="10" applyNumberFormat="1" applyFont="1" applyFill="1" applyBorder="1" applyAlignment="1" applyProtection="1">
      <alignment horizontal="right" vertical="center"/>
      <protection locked="0"/>
    </xf>
    <xf numFmtId="3" fontId="62" fillId="0" borderId="124" xfId="10" applyNumberFormat="1" applyFont="1" applyFill="1" applyBorder="1" applyAlignment="1" applyProtection="1">
      <alignment horizontal="right" vertical="center"/>
      <protection locked="0"/>
    </xf>
    <xf numFmtId="3" fontId="62" fillId="2" borderId="122" xfId="10" applyNumberFormat="1" applyFont="1" applyFill="1" applyBorder="1" applyAlignment="1" applyProtection="1">
      <alignment horizontal="right" vertical="center"/>
      <protection locked="0"/>
    </xf>
    <xf numFmtId="49" fontId="63" fillId="13" borderId="125" xfId="10" applyNumberFormat="1" applyFont="1" applyFill="1" applyBorder="1" applyAlignment="1" applyProtection="1">
      <alignment horizontal="left" vertical="center" wrapText="1"/>
      <protection locked="0"/>
    </xf>
    <xf numFmtId="3" fontId="63" fillId="14" borderId="44" xfId="10" applyNumberFormat="1" applyFont="1" applyFill="1" applyBorder="1" applyAlignment="1" applyProtection="1">
      <alignment horizontal="right" vertical="center"/>
      <protection locked="0"/>
    </xf>
    <xf numFmtId="49" fontId="59" fillId="0" borderId="6" xfId="10" applyNumberFormat="1" applyFont="1" applyFill="1" applyBorder="1" applyAlignment="1" applyProtection="1">
      <alignment horizontal="center" vertical="center" wrapText="1"/>
      <protection locked="0"/>
    </xf>
    <xf numFmtId="3" fontId="62" fillId="2" borderId="101" xfId="10" applyNumberFormat="1" applyFont="1" applyFill="1" applyBorder="1" applyAlignment="1" applyProtection="1">
      <alignment horizontal="right" vertical="center"/>
      <protection locked="0"/>
    </xf>
    <xf numFmtId="49" fontId="63" fillId="13" borderId="111" xfId="10" applyNumberFormat="1" applyFont="1" applyFill="1" applyBorder="1" applyAlignment="1" applyProtection="1">
      <alignment horizontal="left" vertical="center" wrapText="1"/>
      <protection locked="0"/>
    </xf>
    <xf numFmtId="3" fontId="63" fillId="14" borderId="12" xfId="10" applyNumberFormat="1" applyFont="1" applyFill="1" applyBorder="1" applyAlignment="1" applyProtection="1">
      <alignment horizontal="right" vertical="center"/>
      <protection locked="0"/>
    </xf>
    <xf numFmtId="49" fontId="59" fillId="10" borderId="127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1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5" xfId="10" applyNumberFormat="1" applyFont="1" applyFill="1" applyBorder="1" applyAlignment="1" applyProtection="1">
      <alignment horizontal="center" vertical="center" wrapText="1"/>
      <protection locked="0"/>
    </xf>
    <xf numFmtId="3" fontId="62" fillId="0" borderId="8" xfId="10" applyNumberFormat="1" applyFont="1" applyFill="1" applyBorder="1" applyAlignment="1" applyProtection="1">
      <alignment horizontal="right" vertical="center"/>
      <protection locked="0"/>
    </xf>
    <xf numFmtId="49" fontId="59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62" fillId="14" borderId="4" xfId="10" applyNumberFormat="1" applyFont="1" applyFill="1" applyBorder="1" applyAlignment="1" applyProtection="1">
      <alignment horizontal="center" vertical="center" wrapText="1"/>
      <protection locked="0"/>
    </xf>
    <xf numFmtId="49" fontId="62" fillId="13" borderId="106" xfId="10" applyNumberFormat="1" applyFont="1" applyFill="1" applyBorder="1" applyAlignment="1" applyProtection="1">
      <alignment horizontal="center" vertical="center" wrapText="1"/>
      <protection locked="0"/>
    </xf>
    <xf numFmtId="49" fontId="62" fillId="13" borderId="107" xfId="10" applyNumberFormat="1" applyFont="1" applyFill="1" applyBorder="1" applyAlignment="1" applyProtection="1">
      <alignment horizontal="left" vertical="center" wrapText="1"/>
      <protection locked="0"/>
    </xf>
    <xf numFmtId="3" fontId="63" fillId="14" borderId="14" xfId="10" applyNumberFormat="1" applyFont="1" applyFill="1" applyBorder="1" applyAlignment="1" applyProtection="1">
      <alignment horizontal="right" vertical="center"/>
      <protection locked="0"/>
    </xf>
    <xf numFmtId="49" fontId="62" fillId="15" borderId="0" xfId="10" applyNumberFormat="1" applyFont="1" applyFill="1" applyBorder="1" applyAlignment="1" applyProtection="1">
      <alignment vertical="center" wrapText="1"/>
      <protection locked="0"/>
    </xf>
    <xf numFmtId="49" fontId="59" fillId="10" borderId="6" xfId="10" applyNumberFormat="1" applyFont="1" applyFill="1" applyBorder="1" applyAlignment="1" applyProtection="1">
      <alignment vertical="center" wrapText="1"/>
      <protection locked="0"/>
    </xf>
    <xf numFmtId="3" fontId="62" fillId="0" borderId="17" xfId="10" applyNumberFormat="1" applyFont="1" applyFill="1" applyBorder="1" applyAlignment="1" applyProtection="1">
      <alignment horizontal="right" vertical="center"/>
      <protection locked="0"/>
    </xf>
    <xf numFmtId="4" fontId="31" fillId="0" borderId="0" xfId="10" applyNumberFormat="1" applyFont="1" applyFill="1" applyBorder="1" applyAlignment="1" applyProtection="1">
      <alignment horizontal="left" vertical="center"/>
      <protection locked="0"/>
    </xf>
    <xf numFmtId="2" fontId="59" fillId="0" borderId="0" xfId="10" applyNumberFormat="1" applyFont="1" applyFill="1" applyBorder="1" applyAlignment="1" applyProtection="1">
      <alignment vertical="center" wrapText="1"/>
      <protection locked="0"/>
    </xf>
    <xf numFmtId="2" fontId="59" fillId="0" borderId="17" xfId="10" applyNumberFormat="1" applyFont="1" applyFill="1" applyBorder="1" applyAlignment="1" applyProtection="1">
      <alignment vertical="center" wrapText="1"/>
      <protection locked="0"/>
    </xf>
    <xf numFmtId="49" fontId="62" fillId="12" borderId="129" xfId="10" applyNumberFormat="1" applyFont="1" applyFill="1" applyBorder="1" applyAlignment="1" applyProtection="1">
      <alignment horizontal="center" vertical="center" wrapText="1"/>
      <protection locked="0"/>
    </xf>
    <xf numFmtId="0" fontId="59" fillId="0" borderId="0" xfId="10" applyNumberFormat="1" applyFont="1" applyFill="1" applyBorder="1" applyAlignment="1" applyProtection="1">
      <alignment vertical="center"/>
      <protection locked="0"/>
    </xf>
    <xf numFmtId="0" fontId="59" fillId="0" borderId="17" xfId="10" applyNumberFormat="1" applyFont="1" applyFill="1" applyBorder="1" applyAlignment="1" applyProtection="1">
      <alignment vertical="center"/>
      <protection locked="0"/>
    </xf>
    <xf numFmtId="49" fontId="62" fillId="11" borderId="9" xfId="10" applyNumberFormat="1" applyFont="1" applyFill="1" applyBorder="1" applyAlignment="1" applyProtection="1">
      <alignment horizontal="center" vertical="center" wrapText="1"/>
      <protection locked="0"/>
    </xf>
    <xf numFmtId="49" fontId="62" fillId="11" borderId="19" xfId="10" applyNumberFormat="1" applyFont="1" applyFill="1" applyBorder="1" applyAlignment="1" applyProtection="1">
      <alignment horizontal="center" vertical="center" wrapText="1"/>
      <protection locked="0"/>
    </xf>
    <xf numFmtId="3" fontId="62" fillId="3" borderId="4" xfId="10" applyNumberFormat="1" applyFont="1" applyFill="1" applyBorder="1" applyAlignment="1" applyProtection="1">
      <alignment horizontal="right" vertical="center"/>
      <protection locked="0"/>
    </xf>
    <xf numFmtId="3" fontId="63" fillId="14" borderId="9" xfId="10" applyNumberFormat="1" applyFont="1" applyFill="1" applyBorder="1" applyAlignment="1" applyProtection="1">
      <alignment horizontal="right" vertical="center"/>
      <protection locked="0"/>
    </xf>
    <xf numFmtId="3" fontId="62" fillId="0" borderId="115" xfId="10" applyNumberFormat="1" applyFont="1" applyFill="1" applyBorder="1" applyAlignment="1" applyProtection="1">
      <alignment horizontal="right" vertical="center"/>
      <protection locked="0"/>
    </xf>
    <xf numFmtId="3" fontId="59" fillId="6" borderId="121" xfId="10" applyNumberFormat="1" applyFont="1" applyFill="1" applyBorder="1" applyAlignment="1" applyProtection="1">
      <alignment horizontal="right" vertical="center"/>
      <protection locked="0"/>
    </xf>
    <xf numFmtId="3" fontId="63" fillId="14" borderId="131" xfId="10" applyNumberFormat="1" applyFont="1" applyFill="1" applyBorder="1" applyAlignment="1" applyProtection="1">
      <alignment horizontal="right" vertical="center"/>
      <protection locked="0"/>
    </xf>
    <xf numFmtId="3" fontId="59" fillId="0" borderId="124" xfId="10" applyNumberFormat="1" applyFont="1" applyFill="1" applyBorder="1" applyAlignment="1" applyProtection="1">
      <alignment horizontal="right" vertical="center"/>
      <protection locked="0"/>
    </xf>
    <xf numFmtId="3" fontId="62" fillId="2" borderId="17" xfId="10" applyNumberFormat="1" applyFont="1" applyFill="1" applyBorder="1" applyAlignment="1" applyProtection="1">
      <alignment horizontal="right" vertical="center"/>
      <protection locked="0"/>
    </xf>
    <xf numFmtId="49" fontId="59" fillId="10" borderId="11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3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12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19" xfId="10" applyNumberFormat="1" applyFont="1" applyFill="1" applyBorder="1" applyAlignment="1" applyProtection="1">
      <alignment vertical="center" wrapText="1"/>
      <protection locked="0"/>
    </xf>
    <xf numFmtId="3" fontId="59" fillId="0" borderId="14" xfId="10" applyNumberFormat="1" applyFont="1" applyFill="1" applyBorder="1" applyAlignment="1" applyProtection="1">
      <alignment horizontal="right" vertical="center"/>
      <protection locked="0"/>
    </xf>
    <xf numFmtId="3" fontId="62" fillId="6" borderId="17" xfId="10" applyNumberFormat="1" applyFont="1" applyFill="1" applyBorder="1" applyAlignment="1" applyProtection="1">
      <alignment horizontal="right" vertical="center"/>
      <protection locked="0"/>
    </xf>
    <xf numFmtId="49" fontId="59" fillId="10" borderId="19" xfId="10" applyNumberFormat="1" applyFont="1" applyFill="1" applyBorder="1" applyAlignment="1" applyProtection="1">
      <alignment vertical="center" wrapText="1"/>
      <protection locked="0"/>
    </xf>
    <xf numFmtId="49" fontId="59" fillId="10" borderId="14" xfId="10" applyNumberFormat="1" applyFont="1" applyFill="1" applyBorder="1" applyAlignment="1" applyProtection="1">
      <alignment vertical="center" wrapText="1"/>
      <protection locked="0"/>
    </xf>
    <xf numFmtId="49" fontId="62" fillId="11" borderId="44" xfId="10" applyNumberFormat="1" applyFont="1" applyFill="1" applyBorder="1" applyAlignment="1" applyProtection="1">
      <alignment vertical="top" wrapText="1"/>
      <protection locked="0"/>
    </xf>
    <xf numFmtId="3" fontId="63" fillId="13" borderId="44" xfId="10" applyNumberFormat="1" applyFont="1" applyFill="1" applyBorder="1" applyAlignment="1" applyProtection="1">
      <alignment horizontal="right" vertical="center" wrapText="1"/>
      <protection locked="0"/>
    </xf>
    <xf numFmtId="3" fontId="59" fillId="0" borderId="0" xfId="10" applyNumberFormat="1" applyFont="1" applyFill="1" applyBorder="1" applyAlignment="1" applyProtection="1">
      <alignment horizontal="left" vertical="center"/>
      <protection locked="0"/>
    </xf>
    <xf numFmtId="49" fontId="61" fillId="10" borderId="0" xfId="10" applyNumberFormat="1" applyFont="1" applyFill="1" applyBorder="1" applyAlignment="1" applyProtection="1">
      <alignment vertical="top" wrapText="1"/>
      <protection locked="0"/>
    </xf>
    <xf numFmtId="3" fontId="61" fillId="10" borderId="0" xfId="10" applyNumberFormat="1" applyFont="1" applyFill="1" applyBorder="1" applyAlignment="1" applyProtection="1">
      <alignment vertical="top" wrapText="1"/>
      <protection locked="0"/>
    </xf>
    <xf numFmtId="10" fontId="61" fillId="10" borderId="0" xfId="10" applyNumberFormat="1" applyFont="1" applyFill="1" applyBorder="1" applyAlignment="1" applyProtection="1">
      <alignment horizontal="right" vertical="top" wrapText="1"/>
      <protection locked="0"/>
    </xf>
    <xf numFmtId="0" fontId="15" fillId="0" borderId="0" xfId="1" applyFont="1" applyAlignment="1">
      <alignment vertical="center" wrapText="1"/>
    </xf>
    <xf numFmtId="0" fontId="19" fillId="0" borderId="0" xfId="1" applyFont="1" applyAlignment="1">
      <alignment vertical="center"/>
    </xf>
    <xf numFmtId="3" fontId="19" fillId="0" borderId="0" xfId="1" applyNumberFormat="1" applyFont="1" applyAlignment="1">
      <alignment vertical="center"/>
    </xf>
    <xf numFmtId="0" fontId="19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12" fillId="4" borderId="29" xfId="1" applyFont="1" applyFill="1" applyBorder="1" applyAlignment="1">
      <alignment horizontal="center" vertical="center"/>
    </xf>
    <xf numFmtId="0" fontId="12" fillId="4" borderId="133" xfId="1" applyFont="1" applyFill="1" applyBorder="1" applyAlignment="1">
      <alignment horizontal="center" vertical="center"/>
    </xf>
    <xf numFmtId="0" fontId="12" fillId="4" borderId="44" xfId="1" applyFont="1" applyFill="1" applyBorder="1" applyAlignment="1">
      <alignment horizontal="center" vertical="center" wrapText="1"/>
    </xf>
    <xf numFmtId="3" fontId="12" fillId="17" borderId="138" xfId="1" applyNumberFormat="1" applyFont="1" applyFill="1" applyBorder="1" applyAlignment="1">
      <alignment horizontal="right" vertical="center"/>
    </xf>
    <xf numFmtId="3" fontId="19" fillId="17" borderId="0" xfId="1" applyNumberFormat="1" applyFont="1" applyFill="1" applyAlignment="1">
      <alignment vertical="center"/>
    </xf>
    <xf numFmtId="3" fontId="12" fillId="4" borderId="44" xfId="1" applyNumberFormat="1" applyFont="1" applyFill="1" applyBorder="1" applyAlignment="1">
      <alignment horizontal="right" vertical="center"/>
    </xf>
    <xf numFmtId="49" fontId="19" fillId="0" borderId="0" xfId="1" applyNumberFormat="1" applyFont="1" applyAlignment="1">
      <alignment vertical="center"/>
    </xf>
    <xf numFmtId="0" fontId="19" fillId="0" borderId="0" xfId="1" applyFont="1" applyAlignment="1">
      <alignment horizontal="right" vertical="center"/>
    </xf>
    <xf numFmtId="0" fontId="67" fillId="0" borderId="0" xfId="1" applyFont="1" applyAlignment="1">
      <alignment vertical="center"/>
    </xf>
    <xf numFmtId="0" fontId="68" fillId="18" borderId="48" xfId="1" applyFont="1" applyFill="1" applyBorder="1" applyAlignment="1">
      <alignment horizontal="center" vertical="center"/>
    </xf>
    <xf numFmtId="3" fontId="12" fillId="18" borderId="48" xfId="1" applyNumberFormat="1" applyFont="1" applyFill="1" applyBorder="1" applyAlignment="1">
      <alignment horizontal="right" vertical="center"/>
    </xf>
    <xf numFmtId="3" fontId="12" fillId="18" borderId="120" xfId="1" applyNumberFormat="1" applyFont="1" applyFill="1" applyBorder="1" applyAlignment="1">
      <alignment horizontal="right" vertical="center"/>
    </xf>
    <xf numFmtId="3" fontId="19" fillId="16" borderId="0" xfId="1" applyNumberFormat="1" applyFont="1" applyFill="1" applyAlignment="1">
      <alignment horizontal="center" vertical="center"/>
    </xf>
    <xf numFmtId="0" fontId="19" fillId="16" borderId="0" xfId="1" applyFont="1" applyFill="1" applyAlignment="1">
      <alignment horizontal="center" vertical="center"/>
    </xf>
    <xf numFmtId="3" fontId="8" fillId="16" borderId="0" xfId="1" applyNumberFormat="1" applyFont="1" applyFill="1" applyAlignment="1">
      <alignment horizontal="center" vertical="center"/>
    </xf>
    <xf numFmtId="0" fontId="8" fillId="16" borderId="0" xfId="1" applyFont="1" applyFill="1" applyAlignment="1">
      <alignment horizontal="center" vertical="center"/>
    </xf>
    <xf numFmtId="0" fontId="12" fillId="18" borderId="48" xfId="1" applyFont="1" applyFill="1" applyBorder="1" applyAlignment="1">
      <alignment horizontal="center" vertical="center" wrapText="1"/>
    </xf>
    <xf numFmtId="3" fontId="12" fillId="4" borderId="133" xfId="1" applyNumberFormat="1" applyFont="1" applyFill="1" applyBorder="1" applyAlignment="1">
      <alignment horizontal="right" vertical="center"/>
    </xf>
    <xf numFmtId="49" fontId="19" fillId="0" borderId="0" xfId="1" applyNumberFormat="1" applyFont="1" applyAlignment="1">
      <alignment horizontal="center" vertical="top"/>
    </xf>
    <xf numFmtId="49" fontId="70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center" vertical="top"/>
    </xf>
    <xf numFmtId="0" fontId="70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top"/>
    </xf>
    <xf numFmtId="0" fontId="15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3" fontId="9" fillId="4" borderId="4" xfId="1" applyNumberFormat="1" applyFont="1" applyFill="1" applyBorder="1" applyAlignment="1">
      <alignment horizontal="right" vertical="center"/>
    </xf>
    <xf numFmtId="3" fontId="9" fillId="4" borderId="24" xfId="1" applyNumberFormat="1" applyFont="1" applyFill="1" applyBorder="1" applyAlignment="1">
      <alignment horizontal="right" vertical="center"/>
    </xf>
    <xf numFmtId="3" fontId="9" fillId="4" borderId="44" xfId="1" applyNumberFormat="1" applyFont="1" applyFill="1" applyBorder="1" applyAlignment="1">
      <alignment horizontal="right" vertical="center"/>
    </xf>
    <xf numFmtId="3" fontId="8" fillId="0" borderId="18" xfId="1" applyNumberFormat="1" applyFont="1" applyBorder="1" applyAlignment="1">
      <alignment horizontal="right" vertical="center"/>
    </xf>
    <xf numFmtId="3" fontId="8" fillId="0" borderId="117" xfId="1" applyNumberFormat="1" applyFont="1" applyBorder="1" applyAlignment="1">
      <alignment horizontal="right" vertical="center"/>
    </xf>
    <xf numFmtId="3" fontId="8" fillId="0" borderId="126" xfId="1" applyNumberFormat="1" applyFont="1" applyBorder="1" applyAlignment="1">
      <alignment horizontal="right" vertical="center"/>
    </xf>
    <xf numFmtId="3" fontId="8" fillId="0" borderId="8" xfId="1" applyNumberFormat="1" applyFont="1" applyBorder="1" applyAlignment="1">
      <alignment horizontal="right" vertical="center"/>
    </xf>
    <xf numFmtId="3" fontId="12" fillId="3" borderId="4" xfId="1" applyNumberFormat="1" applyFont="1" applyFill="1" applyBorder="1" applyAlignment="1">
      <alignment horizontal="right" vertical="center"/>
    </xf>
    <xf numFmtId="3" fontId="12" fillId="3" borderId="24" xfId="1" applyNumberFormat="1" applyFont="1" applyFill="1" applyBorder="1" applyAlignment="1">
      <alignment horizontal="right" vertical="center"/>
    </xf>
    <xf numFmtId="3" fontId="12" fillId="3" borderId="12" xfId="1" applyNumberFormat="1" applyFont="1" applyFill="1" applyBorder="1" applyAlignment="1">
      <alignment horizontal="right" vertical="center"/>
    </xf>
    <xf numFmtId="49" fontId="23" fillId="0" borderId="0" xfId="1" applyNumberFormat="1" applyFont="1" applyBorder="1" applyAlignment="1">
      <alignment horizontal="center" vertical="top"/>
    </xf>
    <xf numFmtId="49" fontId="70" fillId="0" borderId="0" xfId="1" applyNumberFormat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/>
    </xf>
    <xf numFmtId="3" fontId="28" fillId="0" borderId="0" xfId="1" applyNumberFormat="1" applyFont="1" applyBorder="1" applyAlignment="1">
      <alignment horizontal="right" vertical="center"/>
    </xf>
    <xf numFmtId="3" fontId="19" fillId="0" borderId="0" xfId="1" applyNumberFormat="1" applyFont="1" applyBorder="1" applyAlignment="1">
      <alignment horizontal="center" vertical="center"/>
    </xf>
    <xf numFmtId="49" fontId="23" fillId="0" borderId="0" xfId="1" applyNumberFormat="1" applyFont="1" applyAlignment="1">
      <alignment horizontal="center" vertical="top"/>
    </xf>
    <xf numFmtId="49" fontId="59" fillId="10" borderId="14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2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44" xfId="10" applyNumberFormat="1" applyFont="1" applyFill="1" applyBorder="1" applyAlignment="1" applyProtection="1">
      <alignment vertical="center" wrapText="1"/>
      <protection locked="0"/>
    </xf>
    <xf numFmtId="3" fontId="59" fillId="0" borderId="5" xfId="10" applyNumberFormat="1" applyFont="1" applyFill="1" applyBorder="1" applyAlignment="1" applyProtection="1">
      <alignment horizontal="right" vertical="center"/>
      <protection locked="0"/>
    </xf>
    <xf numFmtId="49" fontId="59" fillId="10" borderId="14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4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47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150" xfId="10" applyNumberFormat="1" applyFont="1" applyFill="1" applyBorder="1" applyAlignment="1" applyProtection="1">
      <alignment horizontal="right" vertical="center"/>
      <protection locked="0"/>
    </xf>
    <xf numFmtId="3" fontId="59" fillId="0" borderId="154" xfId="10" applyNumberFormat="1" applyFont="1" applyFill="1" applyBorder="1" applyAlignment="1" applyProtection="1">
      <alignment horizontal="right" vertical="center"/>
      <protection locked="0"/>
    </xf>
    <xf numFmtId="3" fontId="7" fillId="6" borderId="133" xfId="4" applyNumberFormat="1" applyFont="1" applyFill="1" applyBorder="1" applyAlignment="1">
      <alignment vertical="center"/>
    </xf>
    <xf numFmtId="3" fontId="7" fillId="6" borderId="134" xfId="4" applyNumberFormat="1" applyFont="1" applyFill="1" applyBorder="1" applyAlignment="1">
      <alignment vertical="center"/>
    </xf>
    <xf numFmtId="0" fontId="5" fillId="0" borderId="14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12" fillId="0" borderId="56" xfId="1" applyFont="1" applyFill="1" applyBorder="1" applyAlignment="1">
      <alignment horizontal="center" vertical="center"/>
    </xf>
    <xf numFmtId="0" fontId="7" fillId="0" borderId="159" xfId="1" applyNumberFormat="1" applyFont="1" applyBorder="1" applyAlignment="1">
      <alignment horizontal="center" vertical="center"/>
    </xf>
    <xf numFmtId="3" fontId="7" fillId="6" borderId="160" xfId="1" applyNumberFormat="1" applyFont="1" applyFill="1" applyBorder="1" applyAlignment="1">
      <alignment horizontal="right" vertical="center"/>
    </xf>
    <xf numFmtId="3" fontId="7" fillId="6" borderId="161" xfId="1" applyNumberFormat="1" applyFont="1" applyFill="1" applyBorder="1" applyAlignment="1">
      <alignment horizontal="right" vertical="center"/>
    </xf>
    <xf numFmtId="0" fontId="7" fillId="6" borderId="150" xfId="1" applyFont="1" applyFill="1" applyBorder="1" applyAlignment="1">
      <alignment horizontal="left" vertical="center" wrapText="1"/>
    </xf>
    <xf numFmtId="0" fontId="7" fillId="0" borderId="137" xfId="1" applyNumberFormat="1" applyFont="1" applyBorder="1" applyAlignment="1">
      <alignment horizontal="center" vertical="center"/>
    </xf>
    <xf numFmtId="3" fontId="7" fillId="6" borderId="140" xfId="1" applyNumberFormat="1" applyFont="1" applyFill="1" applyBorder="1" applyAlignment="1">
      <alignment horizontal="right" vertical="center"/>
    </xf>
    <xf numFmtId="3" fontId="7" fillId="6" borderId="135" xfId="1" applyNumberFormat="1" applyFont="1" applyFill="1" applyBorder="1" applyAlignment="1">
      <alignment horizontal="right" vertical="center"/>
    </xf>
    <xf numFmtId="0" fontId="7" fillId="0" borderId="99" xfId="1" applyNumberFormat="1" applyFont="1" applyBorder="1" applyAlignment="1">
      <alignment horizontal="center" vertical="center"/>
    </xf>
    <xf numFmtId="3" fontId="7" fillId="6" borderId="164" xfId="1" applyNumberFormat="1" applyFont="1" applyFill="1" applyBorder="1" applyAlignment="1">
      <alignment horizontal="right" vertical="center"/>
    </xf>
    <xf numFmtId="3" fontId="7" fillId="6" borderId="165" xfId="1" applyNumberFormat="1" applyFont="1" applyFill="1" applyBorder="1" applyAlignment="1">
      <alignment horizontal="right" vertical="center"/>
    </xf>
    <xf numFmtId="0" fontId="44" fillId="6" borderId="17" xfId="15" applyFont="1" applyFill="1" applyBorder="1" applyAlignment="1">
      <alignment horizontal="center" vertical="center" wrapText="1"/>
    </xf>
    <xf numFmtId="0" fontId="8" fillId="6" borderId="18" xfId="15" applyFont="1" applyFill="1" applyBorder="1" applyAlignment="1">
      <alignment horizontal="center" vertical="center" wrapText="1"/>
    </xf>
    <xf numFmtId="0" fontId="31" fillId="6" borderId="18" xfId="1" applyFont="1" applyFill="1" applyBorder="1" applyAlignment="1">
      <alignment horizontal="center" vertical="center" wrapText="1"/>
    </xf>
    <xf numFmtId="0" fontId="52" fillId="6" borderId="17" xfId="1" applyFont="1" applyFill="1" applyBorder="1" applyAlignment="1">
      <alignment horizontal="center" vertical="center" wrapText="1"/>
    </xf>
    <xf numFmtId="49" fontId="44" fillId="6" borderId="18" xfId="15" applyNumberFormat="1" applyFont="1" applyFill="1" applyBorder="1" applyAlignment="1">
      <alignment horizontal="center" vertical="center" wrapText="1"/>
    </xf>
    <xf numFmtId="0" fontId="56" fillId="8" borderId="6" xfId="1" applyFont="1" applyFill="1" applyBorder="1" applyAlignment="1">
      <alignment horizontal="left" vertical="center" wrapText="1"/>
    </xf>
    <xf numFmtId="49" fontId="59" fillId="0" borderId="17" xfId="10" applyNumberFormat="1" applyFont="1" applyFill="1" applyBorder="1" applyAlignment="1" applyProtection="1">
      <alignment horizontal="center" vertical="center" wrapText="1"/>
      <protection locked="0"/>
    </xf>
    <xf numFmtId="0" fontId="0" fillId="6" borderId="17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62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7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/>
    </xf>
    <xf numFmtId="49" fontId="63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17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6" xfId="10" applyNumberFormat="1" applyFont="1" applyFill="1" applyBorder="1" applyAlignment="1" applyProtection="1">
      <alignment horizontal="center" vertical="center" wrapText="1"/>
      <protection locked="0"/>
    </xf>
    <xf numFmtId="0" fontId="12" fillId="0" borderId="17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/>
    </xf>
    <xf numFmtId="49" fontId="12" fillId="4" borderId="133" xfId="1" applyNumberFormat="1" applyFont="1" applyFill="1" applyBorder="1" applyAlignment="1">
      <alignment horizontal="center" vertical="center"/>
    </xf>
    <xf numFmtId="0" fontId="12" fillId="0" borderId="14" xfId="4" applyFont="1" applyBorder="1" applyAlignment="1">
      <alignment horizontal="center" vertical="center"/>
    </xf>
    <xf numFmtId="0" fontId="12" fillId="0" borderId="11" xfId="4" applyFont="1" applyBorder="1" applyAlignment="1">
      <alignment horizontal="center" vertical="center"/>
    </xf>
    <xf numFmtId="0" fontId="12" fillId="0" borderId="6" xfId="4" applyFont="1" applyBorder="1" applyAlignment="1">
      <alignment horizontal="center" vertical="center"/>
    </xf>
    <xf numFmtId="0" fontId="12" fillId="0" borderId="56" xfId="4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 wrapText="1"/>
    </xf>
    <xf numFmtId="0" fontId="7" fillId="0" borderId="14" xfId="4" applyFont="1" applyBorder="1" applyAlignment="1">
      <alignment horizontal="left" vertical="center" wrapText="1"/>
    </xf>
    <xf numFmtId="3" fontId="12" fillId="0" borderId="14" xfId="4" applyNumberFormat="1" applyFont="1" applyBorder="1" applyAlignment="1">
      <alignment horizontal="right" vertical="center"/>
    </xf>
    <xf numFmtId="0" fontId="20" fillId="0" borderId="8" xfId="1" applyFont="1" applyBorder="1" applyAlignment="1">
      <alignment horizontal="left" vertical="center" wrapText="1"/>
    </xf>
    <xf numFmtId="0" fontId="7" fillId="0" borderId="17" xfId="1" applyFont="1" applyBorder="1" applyAlignment="1">
      <alignment vertical="center" wrapText="1"/>
    </xf>
    <xf numFmtId="0" fontId="7" fillId="0" borderId="166" xfId="1" applyFont="1" applyBorder="1" applyAlignment="1">
      <alignment horizontal="center" vertical="center"/>
    </xf>
    <xf numFmtId="3" fontId="7" fillId="0" borderId="166" xfId="4" applyNumberFormat="1" applyFont="1" applyFill="1" applyBorder="1" applyAlignment="1">
      <alignment vertical="center"/>
    </xf>
    <xf numFmtId="3" fontId="7" fillId="0" borderId="150" xfId="1" applyNumberFormat="1" applyFont="1" applyFill="1" applyBorder="1" applyAlignment="1">
      <alignment vertical="center"/>
    </xf>
    <xf numFmtId="3" fontId="8" fillId="0" borderId="170" xfId="1" applyNumberFormat="1" applyFont="1" applyBorder="1" applyAlignment="1">
      <alignment horizontal="right" vertical="center"/>
    </xf>
    <xf numFmtId="0" fontId="7" fillId="0" borderId="169" xfId="1" applyFont="1" applyBorder="1" applyAlignment="1">
      <alignment horizontal="center" vertical="center"/>
    </xf>
    <xf numFmtId="0" fontId="66" fillId="0" borderId="169" xfId="1" applyFont="1" applyFill="1" applyBorder="1" applyAlignment="1">
      <alignment horizontal="center" vertical="center"/>
    </xf>
    <xf numFmtId="3" fontId="7" fillId="0" borderId="170" xfId="1" applyNumberFormat="1" applyFont="1" applyBorder="1" applyAlignment="1">
      <alignment horizontal="right" vertical="center"/>
    </xf>
    <xf numFmtId="3" fontId="12" fillId="17" borderId="170" xfId="1" applyNumberFormat="1" applyFont="1" applyFill="1" applyBorder="1" applyAlignment="1">
      <alignment horizontal="right" vertical="center"/>
    </xf>
    <xf numFmtId="0" fontId="7" fillId="0" borderId="169" xfId="1" applyFont="1" applyFill="1" applyBorder="1" applyAlignment="1">
      <alignment horizontal="center" vertical="center"/>
    </xf>
    <xf numFmtId="0" fontId="7" fillId="0" borderId="162" xfId="1" applyFont="1" applyBorder="1" applyAlignment="1">
      <alignment horizontal="center" vertical="center"/>
    </xf>
    <xf numFmtId="0" fontId="66" fillId="0" borderId="162" xfId="1" applyFont="1" applyFill="1" applyBorder="1" applyAlignment="1">
      <alignment horizontal="center" vertical="center"/>
    </xf>
    <xf numFmtId="3" fontId="7" fillId="0" borderId="149" xfId="1" applyNumberFormat="1" applyFont="1" applyBorder="1" applyAlignment="1">
      <alignment horizontal="right" vertical="center"/>
    </xf>
    <xf numFmtId="0" fontId="12" fillId="4" borderId="162" xfId="1" applyFont="1" applyFill="1" applyBorder="1" applyAlignment="1">
      <alignment horizontal="center" vertical="center" wrapText="1"/>
    </xf>
    <xf numFmtId="0" fontId="12" fillId="0" borderId="169" xfId="1" applyFont="1" applyFill="1" applyBorder="1" applyAlignment="1">
      <alignment horizontal="center" vertical="center" wrapText="1"/>
    </xf>
    <xf numFmtId="3" fontId="12" fillId="0" borderId="169" xfId="1" applyNumberFormat="1" applyFont="1" applyFill="1" applyBorder="1" applyAlignment="1">
      <alignment horizontal="right" vertical="center"/>
    </xf>
    <xf numFmtId="3" fontId="12" fillId="0" borderId="170" xfId="1" applyNumberFormat="1" applyFont="1" applyFill="1" applyBorder="1" applyAlignment="1">
      <alignment horizontal="right" vertical="center"/>
    </xf>
    <xf numFmtId="0" fontId="8" fillId="0" borderId="169" xfId="1" applyFont="1" applyFill="1" applyBorder="1" applyAlignment="1">
      <alignment horizontal="center" vertical="center" wrapText="1"/>
    </xf>
    <xf numFmtId="3" fontId="8" fillId="0" borderId="169" xfId="1" applyNumberFormat="1" applyFont="1" applyFill="1" applyBorder="1" applyAlignment="1">
      <alignment horizontal="right" vertical="center"/>
    </xf>
    <xf numFmtId="3" fontId="8" fillId="0" borderId="170" xfId="1" applyNumberFormat="1" applyFont="1" applyFill="1" applyBorder="1" applyAlignment="1">
      <alignment horizontal="right" vertical="center"/>
    </xf>
    <xf numFmtId="49" fontId="68" fillId="18" borderId="169" xfId="1" applyNumberFormat="1" applyFont="1" applyFill="1" applyBorder="1" applyAlignment="1">
      <alignment horizontal="center" vertical="center"/>
    </xf>
    <xf numFmtId="3" fontId="12" fillId="18" borderId="169" xfId="1" applyNumberFormat="1" applyFont="1" applyFill="1" applyBorder="1" applyAlignment="1">
      <alignment horizontal="right" vertical="center"/>
    </xf>
    <xf numFmtId="3" fontId="12" fillId="18" borderId="170" xfId="1" applyNumberFormat="1" applyFont="1" applyFill="1" applyBorder="1" applyAlignment="1">
      <alignment horizontal="right" vertical="center"/>
    </xf>
    <xf numFmtId="49" fontId="12" fillId="0" borderId="169" xfId="1" applyNumberFormat="1" applyFont="1" applyFill="1" applyBorder="1" applyAlignment="1">
      <alignment horizontal="center" vertical="center"/>
    </xf>
    <xf numFmtId="3" fontId="68" fillId="0" borderId="169" xfId="1" applyNumberFormat="1" applyFont="1" applyFill="1" applyBorder="1" applyAlignment="1">
      <alignment horizontal="right" vertical="center"/>
    </xf>
    <xf numFmtId="3" fontId="68" fillId="0" borderId="170" xfId="1" applyNumberFormat="1" applyFont="1" applyFill="1" applyBorder="1" applyAlignment="1">
      <alignment horizontal="right" vertical="center"/>
    </xf>
    <xf numFmtId="0" fontId="12" fillId="18" borderId="169" xfId="1" applyFont="1" applyFill="1" applyBorder="1" applyAlignment="1">
      <alignment horizontal="center" vertical="center"/>
    </xf>
    <xf numFmtId="49" fontId="12" fillId="18" borderId="169" xfId="1" applyNumberFormat="1" applyFont="1" applyFill="1" applyBorder="1" applyAlignment="1">
      <alignment horizontal="center" vertical="center"/>
    </xf>
    <xf numFmtId="3" fontId="69" fillId="0" borderId="169" xfId="1" applyNumberFormat="1" applyFont="1" applyFill="1" applyBorder="1" applyAlignment="1">
      <alignment horizontal="right" vertical="center"/>
    </xf>
    <xf numFmtId="3" fontId="69" fillId="0" borderId="170" xfId="1" applyNumberFormat="1" applyFont="1" applyFill="1" applyBorder="1" applyAlignment="1">
      <alignment horizontal="right" vertical="center"/>
    </xf>
    <xf numFmtId="0" fontId="12" fillId="0" borderId="169" xfId="1" applyFont="1" applyFill="1" applyBorder="1" applyAlignment="1">
      <alignment horizontal="center" vertical="center"/>
    </xf>
    <xf numFmtId="0" fontId="8" fillId="0" borderId="169" xfId="1" applyFont="1" applyFill="1" applyBorder="1" applyAlignment="1">
      <alignment horizontal="center" vertical="center"/>
    </xf>
    <xf numFmtId="0" fontId="8" fillId="0" borderId="160" xfId="1" applyFont="1" applyFill="1" applyBorder="1" applyAlignment="1">
      <alignment horizontal="center" vertical="center"/>
    </xf>
    <xf numFmtId="3" fontId="8" fillId="0" borderId="160" xfId="1" applyNumberFormat="1" applyFont="1" applyFill="1" applyBorder="1" applyAlignment="1">
      <alignment horizontal="right" vertical="center"/>
    </xf>
    <xf numFmtId="3" fontId="8" fillId="0" borderId="151" xfId="1" applyNumberFormat="1" applyFont="1" applyFill="1" applyBorder="1" applyAlignment="1">
      <alignment horizontal="right" vertical="center"/>
    </xf>
    <xf numFmtId="0" fontId="8" fillId="0" borderId="162" xfId="1" applyFont="1" applyFill="1" applyBorder="1" applyAlignment="1">
      <alignment horizontal="center" vertical="center" wrapText="1"/>
    </xf>
    <xf numFmtId="3" fontId="8" fillId="0" borderId="162" xfId="1" applyNumberFormat="1" applyFont="1" applyFill="1" applyBorder="1" applyAlignment="1">
      <alignment horizontal="right" vertical="center"/>
    </xf>
    <xf numFmtId="3" fontId="8" fillId="0" borderId="149" xfId="1" applyNumberFormat="1" applyFont="1" applyFill="1" applyBorder="1" applyAlignment="1">
      <alignment horizontal="right" vertical="center"/>
    </xf>
    <xf numFmtId="0" fontId="9" fillId="3" borderId="145" xfId="1" applyFont="1" applyFill="1" applyBorder="1" applyAlignment="1">
      <alignment horizontal="center" vertical="center" wrapText="1"/>
    </xf>
    <xf numFmtId="0" fontId="9" fillId="3" borderId="151" xfId="1" applyFont="1" applyFill="1" applyBorder="1" applyAlignment="1">
      <alignment horizontal="center" vertical="center" wrapText="1"/>
    </xf>
    <xf numFmtId="0" fontId="7" fillId="0" borderId="145" xfId="1" applyFont="1" applyBorder="1" applyAlignment="1">
      <alignment horizontal="center" vertical="center"/>
    </xf>
    <xf numFmtId="49" fontId="8" fillId="18" borderId="176" xfId="1" applyNumberFormat="1" applyFont="1" applyFill="1" applyBorder="1" applyAlignment="1">
      <alignment horizontal="center" vertical="center" wrapText="1"/>
    </xf>
    <xf numFmtId="3" fontId="7" fillId="0" borderId="177" xfId="1" applyNumberFormat="1" applyFont="1" applyBorder="1" applyAlignment="1">
      <alignment horizontal="right" vertical="center"/>
    </xf>
    <xf numFmtId="3" fontId="7" fillId="0" borderId="145" xfId="1" applyNumberFormat="1" applyFont="1" applyBorder="1" applyAlignment="1">
      <alignment horizontal="right" vertical="center"/>
    </xf>
    <xf numFmtId="3" fontId="66" fillId="0" borderId="178" xfId="1" applyNumberFormat="1" applyFont="1" applyBorder="1" applyAlignment="1">
      <alignment vertical="center"/>
    </xf>
    <xf numFmtId="0" fontId="7" fillId="0" borderId="173" xfId="1" applyFont="1" applyBorder="1" applyAlignment="1">
      <alignment horizontal="center" vertical="center"/>
    </xf>
    <xf numFmtId="49" fontId="8" fillId="18" borderId="149" xfId="1" applyNumberFormat="1" applyFont="1" applyFill="1" applyBorder="1" applyAlignment="1">
      <alignment horizontal="center" vertical="center" wrapText="1"/>
    </xf>
    <xf numFmtId="3" fontId="7" fillId="0" borderId="150" xfId="1" applyNumberFormat="1" applyFont="1" applyBorder="1" applyAlignment="1">
      <alignment horizontal="right" vertical="center"/>
    </xf>
    <xf numFmtId="3" fontId="66" fillId="0" borderId="179" xfId="1" applyNumberFormat="1" applyFont="1" applyBorder="1" applyAlignment="1">
      <alignment horizontal="right" vertical="center"/>
    </xf>
    <xf numFmtId="3" fontId="7" fillId="0" borderId="149" xfId="1" applyNumberFormat="1" applyFont="1" applyBorder="1" applyAlignment="1">
      <alignment vertical="center"/>
    </xf>
    <xf numFmtId="3" fontId="66" fillId="0" borderId="151" xfId="1" applyNumberFormat="1" applyFont="1" applyBorder="1" applyAlignment="1">
      <alignment vertical="center"/>
    </xf>
    <xf numFmtId="0" fontId="7" fillId="0" borderId="179" xfId="1" applyFont="1" applyBorder="1" applyAlignment="1">
      <alignment horizontal="center" vertical="center"/>
    </xf>
    <xf numFmtId="49" fontId="8" fillId="18" borderId="163" xfId="1" applyNumberFormat="1" applyFont="1" applyFill="1" applyBorder="1" applyAlignment="1">
      <alignment horizontal="center" vertical="center" wrapText="1"/>
    </xf>
    <xf numFmtId="0" fontId="42" fillId="0" borderId="0" xfId="15" applyFont="1" applyBorder="1" applyAlignment="1">
      <alignment vertical="center" wrapText="1"/>
    </xf>
    <xf numFmtId="10" fontId="48" fillId="0" borderId="0" xfId="15" applyNumberFormat="1" applyFont="1" applyBorder="1" applyAlignment="1">
      <alignment horizontal="right" vertical="center"/>
    </xf>
    <xf numFmtId="10" fontId="33" fillId="2" borderId="4" xfId="15" applyNumberFormat="1" applyFont="1" applyFill="1" applyBorder="1" applyAlignment="1">
      <alignment horizontal="center" vertical="center"/>
    </xf>
    <xf numFmtId="3" fontId="55" fillId="4" borderId="19" xfId="15" applyNumberFormat="1" applyFont="1" applyFill="1" applyBorder="1" applyAlignment="1">
      <alignment horizontal="right" vertical="center"/>
    </xf>
    <xf numFmtId="10" fontId="55" fillId="4" borderId="19" xfId="15" applyNumberFormat="1" applyFont="1" applyFill="1" applyBorder="1" applyAlignment="1">
      <alignment horizontal="right" vertical="center"/>
    </xf>
    <xf numFmtId="0" fontId="75" fillId="0" borderId="0" xfId="15" applyFont="1"/>
    <xf numFmtId="0" fontId="9" fillId="7" borderId="4" xfId="15" applyFont="1" applyFill="1" applyBorder="1" applyAlignment="1">
      <alignment vertical="center" wrapText="1"/>
    </xf>
    <xf numFmtId="3" fontId="55" fillId="7" borderId="19" xfId="15" applyNumberFormat="1" applyFont="1" applyFill="1" applyBorder="1" applyAlignment="1">
      <alignment horizontal="right" vertical="center"/>
    </xf>
    <xf numFmtId="10" fontId="55" fillId="7" borderId="19" xfId="15" applyNumberFormat="1" applyFont="1" applyFill="1" applyBorder="1" applyAlignment="1">
      <alignment horizontal="right" vertical="center"/>
    </xf>
    <xf numFmtId="0" fontId="8" fillId="8" borderId="141" xfId="15" applyFont="1" applyFill="1" applyBorder="1" applyAlignment="1">
      <alignment vertical="center" wrapText="1"/>
    </xf>
    <xf numFmtId="3" fontId="74" fillId="8" borderId="19" xfId="15" applyNumberFormat="1" applyFont="1" applyFill="1" applyBorder="1" applyAlignment="1">
      <alignment horizontal="right" vertical="center"/>
    </xf>
    <xf numFmtId="10" fontId="74" fillId="8" borderId="19" xfId="15" applyNumberFormat="1" applyFont="1" applyFill="1" applyBorder="1" applyAlignment="1">
      <alignment horizontal="right" vertical="center"/>
    </xf>
    <xf numFmtId="49" fontId="7" fillId="6" borderId="144" xfId="15" applyNumberFormat="1" applyFont="1" applyFill="1" applyBorder="1" applyAlignment="1">
      <alignment horizontal="center" vertical="center" wrapText="1"/>
    </xf>
    <xf numFmtId="3" fontId="5" fillId="0" borderId="166" xfId="15" applyNumberFormat="1" applyFont="1" applyFill="1" applyBorder="1" applyAlignment="1">
      <alignment horizontal="right" vertical="center"/>
    </xf>
    <xf numFmtId="10" fontId="5" fillId="0" borderId="166" xfId="15" applyNumberFormat="1" applyFont="1" applyFill="1" applyBorder="1" applyAlignment="1">
      <alignment horizontal="right" vertical="center"/>
    </xf>
    <xf numFmtId="49" fontId="7" fillId="6" borderId="166" xfId="15" applyNumberFormat="1" applyFont="1" applyFill="1" applyBorder="1" applyAlignment="1">
      <alignment horizontal="center" vertical="center" wrapText="1"/>
    </xf>
    <xf numFmtId="0" fontId="8" fillId="8" borderId="175" xfId="15" applyFont="1" applyFill="1" applyBorder="1" applyAlignment="1">
      <alignment vertical="center" wrapText="1"/>
    </xf>
    <xf numFmtId="3" fontId="74" fillId="8" borderId="7" xfId="15" applyNumberFormat="1" applyFont="1" applyFill="1" applyBorder="1" applyAlignment="1">
      <alignment horizontal="right" vertical="center"/>
    </xf>
    <xf numFmtId="10" fontId="74" fillId="8" borderId="7" xfId="15" applyNumberFormat="1" applyFont="1" applyFill="1" applyBorder="1" applyAlignment="1">
      <alignment horizontal="right" vertical="center"/>
    </xf>
    <xf numFmtId="0" fontId="76" fillId="7" borderId="13" xfId="15" quotePrefix="1" applyFont="1" applyFill="1" applyBorder="1" applyAlignment="1">
      <alignment horizontal="center" vertical="center" wrapText="1"/>
    </xf>
    <xf numFmtId="0" fontId="76" fillId="7" borderId="9" xfId="15" applyFont="1" applyFill="1" applyBorder="1" applyAlignment="1">
      <alignment vertical="center" wrapText="1"/>
    </xf>
    <xf numFmtId="3" fontId="71" fillId="7" borderId="19" xfId="15" applyNumberFormat="1" applyFont="1" applyFill="1" applyBorder="1" applyAlignment="1">
      <alignment horizontal="right" vertical="center"/>
    </xf>
    <xf numFmtId="10" fontId="71" fillId="7" borderId="19" xfId="15" applyNumberFormat="1" applyFont="1" applyFill="1" applyBorder="1" applyAlignment="1">
      <alignment horizontal="right" vertical="center"/>
    </xf>
    <xf numFmtId="0" fontId="77" fillId="0" borderId="0" xfId="15" applyFont="1"/>
    <xf numFmtId="0" fontId="69" fillId="8" borderId="141" xfId="15" quotePrefix="1" applyFont="1" applyFill="1" applyBorder="1" applyAlignment="1">
      <alignment horizontal="left" vertical="center" wrapText="1"/>
    </xf>
    <xf numFmtId="3" fontId="73" fillId="8" borderId="8" xfId="15" applyNumberFormat="1" applyFont="1" applyFill="1" applyBorder="1" applyAlignment="1">
      <alignment horizontal="right" vertical="center"/>
    </xf>
    <xf numFmtId="10" fontId="73" fillId="8" borderId="8" xfId="15" applyNumberFormat="1" applyFont="1" applyFill="1" applyBorder="1" applyAlignment="1">
      <alignment horizontal="right" vertical="center"/>
    </xf>
    <xf numFmtId="0" fontId="66" fillId="6" borderId="126" xfId="15" quotePrefix="1" applyFont="1" applyFill="1" applyBorder="1" applyAlignment="1">
      <alignment horizontal="left" vertical="center" wrapText="1"/>
    </xf>
    <xf numFmtId="49" fontId="66" fillId="6" borderId="166" xfId="15" applyNumberFormat="1" applyFont="1" applyFill="1" applyBorder="1" applyAlignment="1">
      <alignment horizontal="center" vertical="center" wrapText="1"/>
    </xf>
    <xf numFmtId="3" fontId="41" fillId="6" borderId="18" xfId="15" applyNumberFormat="1" applyFont="1" applyFill="1" applyBorder="1" applyAlignment="1">
      <alignment horizontal="right" vertical="center"/>
    </xf>
    <xf numFmtId="3" fontId="41" fillId="0" borderId="18" xfId="15" applyNumberFormat="1" applyFont="1" applyFill="1" applyBorder="1" applyAlignment="1">
      <alignment horizontal="right" vertical="center"/>
    </xf>
    <xf numFmtId="10" fontId="41" fillId="6" borderId="18" xfId="15" applyNumberFormat="1" applyFont="1" applyFill="1" applyBorder="1" applyAlignment="1">
      <alignment horizontal="right" vertical="center"/>
    </xf>
    <xf numFmtId="10" fontId="41" fillId="0" borderId="18" xfId="15" applyNumberFormat="1" applyFont="1" applyFill="1" applyBorder="1" applyAlignment="1">
      <alignment horizontal="right" vertical="center"/>
    </xf>
    <xf numFmtId="0" fontId="78" fillId="0" borderId="148" xfId="15" applyFont="1" applyBorder="1" applyAlignment="1">
      <alignment vertical="center" wrapText="1"/>
    </xf>
    <xf numFmtId="0" fontId="78" fillId="6" borderId="146" xfId="15" applyFont="1" applyFill="1" applyBorder="1" applyAlignment="1">
      <alignment horizontal="center" vertical="center" wrapText="1"/>
    </xf>
    <xf numFmtId="3" fontId="41" fillId="6" borderId="166" xfId="15" applyNumberFormat="1" applyFont="1" applyFill="1" applyBorder="1" applyAlignment="1">
      <alignment horizontal="right" vertical="center"/>
    </xf>
    <xf numFmtId="3" fontId="41" fillId="0" borderId="166" xfId="15" applyNumberFormat="1" applyFont="1" applyFill="1" applyBorder="1" applyAlignment="1">
      <alignment horizontal="right" vertical="center"/>
    </xf>
    <xf numFmtId="10" fontId="41" fillId="0" borderId="166" xfId="15" applyNumberFormat="1" applyFont="1" applyFill="1" applyBorder="1" applyAlignment="1">
      <alignment horizontal="right" vertical="center"/>
    </xf>
    <xf numFmtId="10" fontId="41" fillId="6" borderId="166" xfId="15" applyNumberFormat="1" applyFont="1" applyFill="1" applyBorder="1" applyAlignment="1">
      <alignment horizontal="right" vertical="center"/>
    </xf>
    <xf numFmtId="0" fontId="78" fillId="0" borderId="143" xfId="15" applyFont="1" applyBorder="1" applyAlignment="1">
      <alignment vertical="center" wrapText="1"/>
    </xf>
    <xf numFmtId="0" fontId="78" fillId="6" borderId="158" xfId="15" applyFont="1" applyFill="1" applyBorder="1" applyAlignment="1">
      <alignment horizontal="center" vertical="center" wrapText="1"/>
    </xf>
    <xf numFmtId="0" fontId="69" fillId="8" borderId="146" xfId="15" quotePrefix="1" applyFont="1" applyFill="1" applyBorder="1" applyAlignment="1">
      <alignment horizontal="left" vertical="center" wrapText="1"/>
    </xf>
    <xf numFmtId="3" fontId="73" fillId="8" borderId="166" xfId="15" applyNumberFormat="1" applyFont="1" applyFill="1" applyBorder="1" applyAlignment="1">
      <alignment horizontal="right" vertical="center"/>
    </xf>
    <xf numFmtId="10" fontId="73" fillId="8" borderId="18" xfId="15" applyNumberFormat="1" applyFont="1" applyFill="1" applyBorder="1" applyAlignment="1">
      <alignment horizontal="right" vertical="center"/>
    </xf>
    <xf numFmtId="10" fontId="73" fillId="8" borderId="166" xfId="15" applyNumberFormat="1" applyFont="1" applyFill="1" applyBorder="1" applyAlignment="1">
      <alignment horizontal="right" vertical="center"/>
    </xf>
    <xf numFmtId="0" fontId="78" fillId="6" borderId="148" xfId="15" applyFont="1" applyFill="1" applyBorder="1" applyAlignment="1">
      <alignment vertical="center" wrapText="1"/>
    </xf>
    <xf numFmtId="0" fontId="78" fillId="6" borderId="126" xfId="15" applyFont="1" applyFill="1" applyBorder="1" applyAlignment="1">
      <alignment vertical="center" wrapText="1"/>
    </xf>
    <xf numFmtId="3" fontId="41" fillId="0" borderId="17" xfId="15" applyNumberFormat="1" applyFont="1" applyFill="1" applyBorder="1" applyAlignment="1">
      <alignment horizontal="right" vertical="center"/>
    </xf>
    <xf numFmtId="10" fontId="41" fillId="0" borderId="17" xfId="15" applyNumberFormat="1" applyFont="1" applyFill="1" applyBorder="1" applyAlignment="1">
      <alignment horizontal="right" vertical="center"/>
    </xf>
    <xf numFmtId="0" fontId="49" fillId="7" borderId="4" xfId="15" applyFont="1" applyFill="1" applyBorder="1" applyAlignment="1">
      <alignment vertical="center" wrapText="1"/>
    </xf>
    <xf numFmtId="0" fontId="7" fillId="0" borderId="126" xfId="15" quotePrefix="1" applyFont="1" applyFill="1" applyBorder="1" applyAlignment="1">
      <alignment horizontal="left" vertical="center" wrapText="1"/>
    </xf>
    <xf numFmtId="0" fontId="7" fillId="6" borderId="156" xfId="15" quotePrefix="1" applyFont="1" applyFill="1" applyBorder="1" applyAlignment="1">
      <alignment horizontal="center" vertical="center" wrapText="1"/>
    </xf>
    <xf numFmtId="10" fontId="5" fillId="0" borderId="166" xfId="15" applyNumberFormat="1" applyFont="1" applyFill="1" applyBorder="1" applyAlignment="1">
      <alignment horizontal="left" vertical="center"/>
    </xf>
    <xf numFmtId="0" fontId="7" fillId="0" borderId="148" xfId="15" quotePrefix="1" applyFont="1" applyFill="1" applyBorder="1" applyAlignment="1">
      <alignment horizontal="left" vertical="center" wrapText="1"/>
    </xf>
    <xf numFmtId="0" fontId="7" fillId="6" borderId="181" xfId="15" quotePrefix="1" applyFont="1" applyFill="1" applyBorder="1" applyAlignment="1">
      <alignment horizontal="center" vertical="center" wrapText="1"/>
    </xf>
    <xf numFmtId="0" fontId="8" fillId="8" borderId="146" xfId="15" quotePrefix="1" applyFont="1" applyFill="1" applyBorder="1" applyAlignment="1">
      <alignment horizontal="left" vertical="center" wrapText="1"/>
    </xf>
    <xf numFmtId="3" fontId="74" fillId="8" borderId="166" xfId="15" applyNumberFormat="1" applyFont="1" applyFill="1" applyBorder="1" applyAlignment="1">
      <alignment horizontal="right" vertical="center"/>
    </xf>
    <xf numFmtId="10" fontId="74" fillId="8" borderId="166" xfId="15" applyNumberFormat="1" applyFont="1" applyFill="1" applyBorder="1" applyAlignment="1">
      <alignment horizontal="right" vertical="center"/>
    </xf>
    <xf numFmtId="3" fontId="55" fillId="7" borderId="17" xfId="15" applyNumberFormat="1" applyFont="1" applyFill="1" applyBorder="1" applyAlignment="1">
      <alignment horizontal="right" vertical="center"/>
    </xf>
    <xf numFmtId="10" fontId="55" fillId="7" borderId="17" xfId="15" applyNumberFormat="1" applyFont="1" applyFill="1" applyBorder="1" applyAlignment="1">
      <alignment horizontal="right" vertical="center"/>
    </xf>
    <xf numFmtId="49" fontId="8" fillId="8" borderId="144" xfId="15" applyNumberFormat="1" applyFont="1" applyFill="1" applyBorder="1" applyAlignment="1">
      <alignment horizontal="left" vertical="center" wrapText="1"/>
    </xf>
    <xf numFmtId="49" fontId="9" fillId="0" borderId="150" xfId="15" applyNumberFormat="1" applyFont="1" applyBorder="1" applyAlignment="1">
      <alignment horizontal="center" vertical="center" wrapText="1"/>
    </xf>
    <xf numFmtId="0" fontId="44" fillId="0" borderId="156" xfId="15" applyFont="1" applyFill="1" applyBorder="1" applyAlignment="1">
      <alignment vertical="center" wrapText="1"/>
    </xf>
    <xf numFmtId="49" fontId="44" fillId="6" borderId="144" xfId="15" applyNumberFormat="1" applyFont="1" applyFill="1" applyBorder="1" applyAlignment="1">
      <alignment horizontal="center" vertical="center" wrapText="1"/>
    </xf>
    <xf numFmtId="49" fontId="8" fillId="8" borderId="175" xfId="15" applyNumberFormat="1" applyFont="1" applyFill="1" applyBorder="1" applyAlignment="1">
      <alignment horizontal="left" vertical="center" wrapText="1"/>
    </xf>
    <xf numFmtId="0" fontId="68" fillId="0" borderId="17" xfId="15" quotePrefix="1" applyFont="1" applyFill="1" applyBorder="1" applyAlignment="1">
      <alignment horizontal="center" vertical="center" wrapText="1"/>
    </xf>
    <xf numFmtId="49" fontId="79" fillId="7" borderId="27" xfId="15" applyNumberFormat="1" applyFont="1" applyFill="1" applyBorder="1" applyAlignment="1">
      <alignment horizontal="center" vertical="center" wrapText="1"/>
    </xf>
    <xf numFmtId="0" fontId="76" fillId="7" borderId="56" xfId="15" applyFont="1" applyFill="1" applyBorder="1" applyAlignment="1">
      <alignment vertical="center" wrapText="1"/>
    </xf>
    <xf numFmtId="3" fontId="71" fillId="7" borderId="17" xfId="15" applyNumberFormat="1" applyFont="1" applyFill="1" applyBorder="1" applyAlignment="1">
      <alignment horizontal="right" vertical="center"/>
    </xf>
    <xf numFmtId="10" fontId="71" fillId="7" borderId="17" xfId="15" applyNumberFormat="1" applyFont="1" applyFill="1" applyBorder="1" applyAlignment="1">
      <alignment horizontal="right" vertical="center"/>
    </xf>
    <xf numFmtId="49" fontId="69" fillId="8" borderId="144" xfId="15" applyNumberFormat="1" applyFont="1" applyFill="1" applyBorder="1" applyAlignment="1">
      <alignment horizontal="left" vertical="center" wrapText="1"/>
    </xf>
    <xf numFmtId="3" fontId="73" fillId="8" borderId="19" xfId="15" applyNumberFormat="1" applyFont="1" applyFill="1" applyBorder="1" applyAlignment="1">
      <alignment horizontal="right" vertical="center"/>
    </xf>
    <xf numFmtId="10" fontId="73" fillId="8" borderId="19" xfId="15" applyNumberFormat="1" applyFont="1" applyFill="1" applyBorder="1" applyAlignment="1">
      <alignment horizontal="right" vertical="center"/>
    </xf>
    <xf numFmtId="49" fontId="79" fillId="0" borderId="150" xfId="15" applyNumberFormat="1" applyFont="1" applyBorder="1" applyAlignment="1">
      <alignment horizontal="center" vertical="center" wrapText="1"/>
    </xf>
    <xf numFmtId="0" fontId="78" fillId="0" borderId="156" xfId="15" applyFont="1" applyBorder="1" applyAlignment="1">
      <alignment vertical="center" wrapText="1"/>
    </xf>
    <xf numFmtId="49" fontId="78" fillId="6" borderId="144" xfId="15" applyNumberFormat="1" applyFont="1" applyFill="1" applyBorder="1" applyAlignment="1">
      <alignment horizontal="center" vertical="center" wrapText="1"/>
    </xf>
    <xf numFmtId="49" fontId="69" fillId="8" borderId="158" xfId="15" applyNumberFormat="1" applyFont="1" applyFill="1" applyBorder="1" applyAlignment="1">
      <alignment horizontal="left" vertical="center" wrapText="1"/>
    </xf>
    <xf numFmtId="3" fontId="73" fillId="8" borderId="150" xfId="15" applyNumberFormat="1" applyFont="1" applyFill="1" applyBorder="1" applyAlignment="1">
      <alignment horizontal="right" vertical="center"/>
    </xf>
    <xf numFmtId="10" fontId="73" fillId="8" borderId="150" xfId="15" applyNumberFormat="1" applyFont="1" applyFill="1" applyBorder="1" applyAlignment="1">
      <alignment horizontal="right" vertical="center"/>
    </xf>
    <xf numFmtId="3" fontId="55" fillId="7" borderId="4" xfId="15" applyNumberFormat="1" applyFont="1" applyFill="1" applyBorder="1" applyAlignment="1">
      <alignment horizontal="right" vertical="center"/>
    </xf>
    <xf numFmtId="10" fontId="55" fillId="7" borderId="4" xfId="15" applyNumberFormat="1" applyFont="1" applyFill="1" applyBorder="1" applyAlignment="1">
      <alignment horizontal="right" vertical="center"/>
    </xf>
    <xf numFmtId="0" fontId="44" fillId="0" borderId="5" xfId="15" applyFont="1" applyFill="1" applyBorder="1" applyAlignment="1">
      <alignment vertical="center" wrapText="1"/>
    </xf>
    <xf numFmtId="3" fontId="5" fillId="0" borderId="17" xfId="15" applyNumberFormat="1" applyFont="1" applyFill="1" applyBorder="1" applyAlignment="1">
      <alignment horizontal="right" vertical="center"/>
    </xf>
    <xf numFmtId="10" fontId="5" fillId="0" borderId="17" xfId="15" applyNumberFormat="1" applyFont="1" applyFill="1" applyBorder="1" applyAlignment="1">
      <alignment horizontal="right" vertical="center"/>
    </xf>
    <xf numFmtId="10" fontId="5" fillId="0" borderId="17" xfId="15" applyNumberFormat="1" applyFont="1" applyFill="1" applyBorder="1" applyAlignment="1">
      <alignment horizontal="left" vertical="center"/>
    </xf>
    <xf numFmtId="0" fontId="44" fillId="6" borderId="166" xfId="15" applyFont="1" applyFill="1" applyBorder="1" applyAlignment="1">
      <alignment horizontal="center" vertical="center" wrapText="1"/>
    </xf>
    <xf numFmtId="3" fontId="5" fillId="0" borderId="150" xfId="15" applyNumberFormat="1" applyFont="1" applyFill="1" applyBorder="1" applyAlignment="1">
      <alignment horizontal="right" vertical="center"/>
    </xf>
    <xf numFmtId="10" fontId="5" fillId="0" borderId="150" xfId="15" applyNumberFormat="1" applyFont="1" applyFill="1" applyBorder="1" applyAlignment="1">
      <alignment horizontal="right" vertical="center"/>
    </xf>
    <xf numFmtId="0" fontId="68" fillId="0" borderId="14" xfId="15" quotePrefix="1" applyFont="1" applyFill="1" applyBorder="1" applyAlignment="1">
      <alignment horizontal="center" vertical="center" wrapText="1"/>
    </xf>
    <xf numFmtId="0" fontId="8" fillId="8" borderId="175" xfId="15" quotePrefix="1" applyFont="1" applyFill="1" applyBorder="1" applyAlignment="1">
      <alignment horizontal="left" vertical="center" wrapText="1"/>
    </xf>
    <xf numFmtId="49" fontId="12" fillId="4" borderId="27" xfId="15" applyNumberFormat="1" applyFont="1" applyFill="1" applyBorder="1" applyAlignment="1">
      <alignment horizontal="left" vertical="center" wrapText="1"/>
    </xf>
    <xf numFmtId="3" fontId="55" fillId="4" borderId="17" xfId="15" applyNumberFormat="1" applyFont="1" applyFill="1" applyBorder="1" applyAlignment="1">
      <alignment horizontal="right" vertical="center"/>
    </xf>
    <xf numFmtId="10" fontId="55" fillId="4" borderId="17" xfId="15" applyNumberFormat="1" applyFont="1" applyFill="1" applyBorder="1" applyAlignment="1">
      <alignment horizontal="right" vertical="center"/>
    </xf>
    <xf numFmtId="0" fontId="8" fillId="8" borderId="141" xfId="15" quotePrefix="1" applyFont="1" applyFill="1" applyBorder="1" applyAlignment="1">
      <alignment horizontal="left" vertical="center" wrapText="1"/>
    </xf>
    <xf numFmtId="0" fontId="44" fillId="0" borderId="55" xfId="15" applyFont="1" applyFill="1" applyBorder="1" applyAlignment="1">
      <alignment vertical="center" wrapText="1"/>
    </xf>
    <xf numFmtId="3" fontId="74" fillId="8" borderId="150" xfId="15" applyNumberFormat="1" applyFont="1" applyFill="1" applyBorder="1" applyAlignment="1">
      <alignment horizontal="right" vertical="center"/>
    </xf>
    <xf numFmtId="10" fontId="74" fillId="8" borderId="150" xfId="15" applyNumberFormat="1" applyFont="1" applyFill="1" applyBorder="1" applyAlignment="1">
      <alignment horizontal="right" vertical="center"/>
    </xf>
    <xf numFmtId="3" fontId="55" fillId="4" borderId="4" xfId="15" applyNumberFormat="1" applyFont="1" applyFill="1" applyBorder="1" applyAlignment="1">
      <alignment horizontal="right" vertical="center"/>
    </xf>
    <xf numFmtId="10" fontId="55" fillId="4" borderId="4" xfId="15" applyNumberFormat="1" applyFont="1" applyFill="1" applyBorder="1" applyAlignment="1">
      <alignment horizontal="right" vertical="center"/>
    </xf>
    <xf numFmtId="49" fontId="9" fillId="7" borderId="183" xfId="15" applyNumberFormat="1" applyFont="1" applyFill="1" applyBorder="1" applyAlignment="1">
      <alignment horizontal="center" vertical="center" wrapText="1"/>
    </xf>
    <xf numFmtId="0" fontId="9" fillId="7" borderId="19" xfId="15" applyFont="1" applyFill="1" applyBorder="1" applyAlignment="1">
      <alignment vertical="center" wrapText="1"/>
    </xf>
    <xf numFmtId="0" fontId="8" fillId="0" borderId="158" xfId="15" applyFont="1" applyFill="1" applyBorder="1" applyAlignment="1">
      <alignment horizontal="center" vertical="center" wrapText="1"/>
    </xf>
    <xf numFmtId="0" fontId="44" fillId="0" borderId="150" xfId="15" applyFont="1" applyFill="1" applyBorder="1" applyAlignment="1">
      <alignment vertical="center" wrapText="1"/>
    </xf>
    <xf numFmtId="0" fontId="44" fillId="6" borderId="158" xfId="15" applyFont="1" applyFill="1" applyBorder="1" applyAlignment="1">
      <alignment horizontal="center" vertical="center" wrapText="1"/>
    </xf>
    <xf numFmtId="3" fontId="74" fillId="8" borderId="14" xfId="15" applyNumberFormat="1" applyFont="1" applyFill="1" applyBorder="1" applyAlignment="1">
      <alignment horizontal="right" vertical="center"/>
    </xf>
    <xf numFmtId="10" fontId="74" fillId="8" borderId="14" xfId="15" applyNumberFormat="1" applyFont="1" applyFill="1" applyBorder="1" applyAlignment="1">
      <alignment horizontal="right" vertical="center"/>
    </xf>
    <xf numFmtId="49" fontId="34" fillId="4" borderId="4" xfId="15" applyNumberFormat="1" applyFont="1" applyFill="1" applyBorder="1" applyAlignment="1">
      <alignment horizontal="center" vertical="center" wrapText="1"/>
    </xf>
    <xf numFmtId="49" fontId="34" fillId="4" borderId="12" xfId="15" applyNumberFormat="1" applyFont="1" applyFill="1" applyBorder="1" applyAlignment="1">
      <alignment horizontal="center" vertical="center" wrapText="1"/>
    </xf>
    <xf numFmtId="0" fontId="34" fillId="0" borderId="17" xfId="15" quotePrefix="1" applyFont="1" applyFill="1" applyBorder="1" applyAlignment="1">
      <alignment horizontal="center" vertical="center" wrapText="1"/>
    </xf>
    <xf numFmtId="49" fontId="46" fillId="7" borderId="4" xfId="15" applyNumberFormat="1" applyFont="1" applyFill="1" applyBorder="1" applyAlignment="1">
      <alignment horizontal="center" vertical="center" wrapText="1"/>
    </xf>
    <xf numFmtId="3" fontId="45" fillId="7" borderId="13" xfId="15" applyNumberFormat="1" applyFont="1" applyFill="1" applyBorder="1" applyAlignment="1">
      <alignment horizontal="right" vertical="center"/>
    </xf>
    <xf numFmtId="10" fontId="45" fillId="7" borderId="13" xfId="15" applyNumberFormat="1" applyFont="1" applyFill="1" applyBorder="1" applyAlignment="1">
      <alignment horizontal="right" vertical="center"/>
    </xf>
    <xf numFmtId="0" fontId="56" fillId="8" borderId="17" xfId="15" quotePrefix="1" applyFont="1" applyFill="1" applyBorder="1" applyAlignment="1">
      <alignment horizontal="left" vertical="center" wrapText="1"/>
    </xf>
    <xf numFmtId="0" fontId="34" fillId="0" borderId="6" xfId="15" quotePrefix="1" applyFont="1" applyFill="1" applyBorder="1" applyAlignment="1">
      <alignment horizontal="center" vertical="center" wrapText="1"/>
    </xf>
    <xf numFmtId="0" fontId="31" fillId="6" borderId="156" xfId="15" quotePrefix="1" applyFont="1" applyFill="1" applyBorder="1" applyAlignment="1">
      <alignment horizontal="left" vertical="center" wrapText="1"/>
    </xf>
    <xf numFmtId="0" fontId="31" fillId="6" borderId="166" xfId="15" quotePrefix="1" applyFont="1" applyFill="1" applyBorder="1" applyAlignment="1">
      <alignment horizontal="center" vertical="center" wrapText="1"/>
    </xf>
    <xf numFmtId="3" fontId="48" fillId="6" borderId="166" xfId="15" applyNumberFormat="1" applyFont="1" applyFill="1" applyBorder="1" applyAlignment="1">
      <alignment horizontal="right" vertical="center"/>
    </xf>
    <xf numFmtId="3" fontId="48" fillId="6" borderId="156" xfId="15" applyNumberFormat="1" applyFont="1" applyFill="1" applyBorder="1" applyAlignment="1">
      <alignment horizontal="right" vertical="center"/>
    </xf>
    <xf numFmtId="10" fontId="48" fillId="6" borderId="156" xfId="15" applyNumberFormat="1" applyFont="1" applyFill="1" applyBorder="1" applyAlignment="1">
      <alignment horizontal="right" vertical="center"/>
    </xf>
    <xf numFmtId="10" fontId="48" fillId="6" borderId="166" xfId="15" applyNumberFormat="1" applyFont="1" applyFill="1" applyBorder="1" applyAlignment="1">
      <alignment horizontal="right" vertical="center"/>
    </xf>
    <xf numFmtId="3" fontId="48" fillId="0" borderId="166" xfId="15" applyNumberFormat="1" applyFont="1" applyFill="1" applyBorder="1" applyAlignment="1">
      <alignment horizontal="right" vertical="center"/>
    </xf>
    <xf numFmtId="10" fontId="48" fillId="0" borderId="166" xfId="15" applyNumberFormat="1" applyFont="1" applyFill="1" applyBorder="1" applyAlignment="1">
      <alignment horizontal="right" vertical="center"/>
    </xf>
    <xf numFmtId="0" fontId="56" fillId="8" borderId="166" xfId="15" quotePrefix="1" applyFont="1" applyFill="1" applyBorder="1" applyAlignment="1">
      <alignment horizontal="left" vertical="center" wrapText="1"/>
    </xf>
    <xf numFmtId="3" fontId="47" fillId="8" borderId="0" xfId="15" applyNumberFormat="1" applyFont="1" applyFill="1" applyBorder="1" applyAlignment="1">
      <alignment horizontal="right" vertical="center"/>
    </xf>
    <xf numFmtId="10" fontId="47" fillId="8" borderId="0" xfId="15" applyNumberFormat="1" applyFont="1" applyFill="1" applyBorder="1" applyAlignment="1">
      <alignment horizontal="right" vertical="center"/>
    </xf>
    <xf numFmtId="0" fontId="56" fillId="6" borderId="14" xfId="15" applyFont="1" applyFill="1" applyBorder="1" applyAlignment="1">
      <alignment vertical="center" wrapText="1"/>
    </xf>
    <xf numFmtId="0" fontId="31" fillId="0" borderId="175" xfId="15" quotePrefix="1" applyFont="1" applyFill="1" applyBorder="1" applyAlignment="1">
      <alignment horizontal="left" vertical="center" wrapText="1"/>
    </xf>
    <xf numFmtId="0" fontId="31" fillId="6" borderId="7" xfId="15" quotePrefix="1" applyFont="1" applyFill="1" applyBorder="1" applyAlignment="1">
      <alignment horizontal="center" vertical="center" wrapText="1"/>
    </xf>
    <xf numFmtId="3" fontId="48" fillId="6" borderId="180" xfId="15" applyNumberFormat="1" applyFont="1" applyFill="1" applyBorder="1" applyAlignment="1">
      <alignment horizontal="right" vertical="center"/>
    </xf>
    <xf numFmtId="10" fontId="48" fillId="6" borderId="180" xfId="15" applyNumberFormat="1" applyFont="1" applyFill="1" applyBorder="1" applyAlignment="1">
      <alignment horizontal="right" vertical="center"/>
    </xf>
    <xf numFmtId="0" fontId="34" fillId="4" borderId="4" xfId="15" applyFont="1" applyFill="1" applyBorder="1" applyAlignment="1">
      <alignment horizontal="center" vertical="center" wrapText="1"/>
    </xf>
    <xf numFmtId="0" fontId="34" fillId="4" borderId="12" xfId="15" applyFont="1" applyFill="1" applyBorder="1" applyAlignment="1">
      <alignment horizontal="center" vertical="center" wrapText="1"/>
    </xf>
    <xf numFmtId="0" fontId="50" fillId="7" borderId="12" xfId="15" applyFont="1" applyFill="1" applyBorder="1" applyAlignment="1">
      <alignment horizontal="center" vertical="center" wrapText="1"/>
    </xf>
    <xf numFmtId="0" fontId="56" fillId="8" borderId="8" xfId="15" quotePrefix="1" applyFont="1" applyFill="1" applyBorder="1" applyAlignment="1">
      <alignment horizontal="left" vertical="center" wrapText="1"/>
    </xf>
    <xf numFmtId="3" fontId="74" fillId="8" borderId="8" xfId="15" applyNumberFormat="1" applyFont="1" applyFill="1" applyBorder="1" applyAlignment="1">
      <alignment horizontal="right" vertical="center"/>
    </xf>
    <xf numFmtId="10" fontId="74" fillId="8" borderId="8" xfId="15" applyNumberFormat="1" applyFont="1" applyFill="1" applyBorder="1" applyAlignment="1">
      <alignment horizontal="right" vertical="center"/>
    </xf>
    <xf numFmtId="0" fontId="31" fillId="0" borderId="181" xfId="15" applyFont="1" applyFill="1" applyBorder="1" applyAlignment="1">
      <alignment vertical="center"/>
    </xf>
    <xf numFmtId="3" fontId="5" fillId="0" borderId="18" xfId="15" applyNumberFormat="1" applyFont="1" applyFill="1" applyBorder="1" applyAlignment="1">
      <alignment horizontal="right" vertical="center"/>
    </xf>
    <xf numFmtId="10" fontId="5" fillId="0" borderId="18" xfId="15" applyNumberFormat="1" applyFont="1" applyFill="1" applyBorder="1" applyAlignment="1">
      <alignment horizontal="right" vertical="center"/>
    </xf>
    <xf numFmtId="0" fontId="7" fillId="0" borderId="148" xfId="15" applyFont="1" applyFill="1" applyBorder="1" applyAlignment="1">
      <alignment horizontal="left" vertical="center" wrapText="1"/>
    </xf>
    <xf numFmtId="10" fontId="41" fillId="0" borderId="150" xfId="15" applyNumberFormat="1" applyFont="1" applyFill="1" applyBorder="1" applyAlignment="1">
      <alignment horizontal="right" vertical="center"/>
    </xf>
    <xf numFmtId="0" fontId="31" fillId="0" borderId="166" xfId="15" applyFont="1" applyFill="1" applyBorder="1" applyAlignment="1">
      <alignment horizontal="left" vertical="center" wrapText="1"/>
    </xf>
    <xf numFmtId="49" fontId="51" fillId="6" borderId="5" xfId="15" applyNumberFormat="1" applyFont="1" applyFill="1" applyBorder="1" applyAlignment="1">
      <alignment horizontal="center" vertical="center" wrapText="1"/>
    </xf>
    <xf numFmtId="3" fontId="48" fillId="0" borderId="150" xfId="15" applyNumberFormat="1" applyFont="1" applyFill="1" applyBorder="1" applyAlignment="1">
      <alignment horizontal="right" vertical="center"/>
    </xf>
    <xf numFmtId="49" fontId="31" fillId="6" borderId="150" xfId="15" applyNumberFormat="1" applyFont="1" applyFill="1" applyBorder="1" applyAlignment="1">
      <alignment horizontal="center" vertical="center" wrapText="1"/>
    </xf>
    <xf numFmtId="0" fontId="31" fillId="0" borderId="148" xfId="15" applyFont="1" applyFill="1" applyBorder="1" applyAlignment="1">
      <alignment vertical="center" wrapText="1"/>
    </xf>
    <xf numFmtId="0" fontId="56" fillId="8" borderId="166" xfId="15" applyFont="1" applyFill="1" applyBorder="1" applyAlignment="1">
      <alignment horizontal="left" vertical="center" wrapText="1"/>
    </xf>
    <xf numFmtId="3" fontId="47" fillId="8" borderId="166" xfId="15" applyNumberFormat="1" applyFont="1" applyFill="1" applyBorder="1" applyAlignment="1">
      <alignment horizontal="right" vertical="center"/>
    </xf>
    <xf numFmtId="10" fontId="5" fillId="8" borderId="150" xfId="15" applyNumberFormat="1" applyFont="1" applyFill="1" applyBorder="1" applyAlignment="1">
      <alignment horizontal="right" vertical="center"/>
    </xf>
    <xf numFmtId="10" fontId="47" fillId="8" borderId="166" xfId="15" applyNumberFormat="1" applyFont="1" applyFill="1" applyBorder="1" applyAlignment="1">
      <alignment horizontal="right" vertical="center"/>
    </xf>
    <xf numFmtId="0" fontId="31" fillId="6" borderId="148" xfId="15" applyFont="1" applyFill="1" applyBorder="1" applyAlignment="1">
      <alignment horizontal="left" vertical="center" wrapText="1"/>
    </xf>
    <xf numFmtId="0" fontId="31" fillId="6" borderId="146" xfId="15" applyFont="1" applyFill="1" applyBorder="1" applyAlignment="1">
      <alignment horizontal="center" vertical="center" wrapText="1"/>
    </xf>
    <xf numFmtId="3" fontId="5" fillId="6" borderId="166" xfId="15" applyNumberFormat="1" applyFont="1" applyFill="1" applyBorder="1" applyAlignment="1">
      <alignment horizontal="right" vertical="center"/>
    </xf>
    <xf numFmtId="10" fontId="5" fillId="6" borderId="166" xfId="15" applyNumberFormat="1" applyFont="1" applyFill="1" applyBorder="1" applyAlignment="1">
      <alignment horizontal="right" vertical="center"/>
    </xf>
    <xf numFmtId="10" fontId="73" fillId="6" borderId="166" xfId="15" applyNumberFormat="1" applyFont="1" applyFill="1" applyBorder="1" applyAlignment="1">
      <alignment horizontal="right" vertical="center"/>
    </xf>
    <xf numFmtId="0" fontId="31" fillId="0" borderId="150" xfId="15" applyFont="1" applyFill="1" applyBorder="1" applyAlignment="1">
      <alignment horizontal="left" vertical="center" wrapText="1"/>
    </xf>
    <xf numFmtId="0" fontId="31" fillId="6" borderId="158" xfId="15" applyFont="1" applyFill="1" applyBorder="1" applyAlignment="1">
      <alignment horizontal="center" vertical="center" wrapText="1"/>
    </xf>
    <xf numFmtId="3" fontId="48" fillId="6" borderId="150" xfId="15" applyNumberFormat="1" applyFont="1" applyFill="1" applyBorder="1" applyAlignment="1">
      <alignment horizontal="right" vertical="center"/>
    </xf>
    <xf numFmtId="10" fontId="41" fillId="6" borderId="150" xfId="15" applyNumberFormat="1" applyFont="1" applyFill="1" applyBorder="1" applyAlignment="1">
      <alignment horizontal="right" vertical="center"/>
    </xf>
    <xf numFmtId="0" fontId="50" fillId="7" borderId="4" xfId="15" applyFont="1" applyFill="1" applyBorder="1" applyAlignment="1">
      <alignment horizontal="center" vertical="center" wrapText="1"/>
    </xf>
    <xf numFmtId="10" fontId="48" fillId="8" borderId="8" xfId="15" applyNumberFormat="1" applyFont="1" applyFill="1" applyBorder="1" applyAlignment="1">
      <alignment horizontal="right" vertical="center"/>
    </xf>
    <xf numFmtId="0" fontId="56" fillId="6" borderId="17" xfId="15" applyFont="1" applyFill="1" applyBorder="1" applyAlignment="1">
      <alignment horizontal="left" vertical="center" wrapText="1"/>
    </xf>
    <xf numFmtId="0" fontId="31" fillId="0" borderId="17" xfId="15" quotePrefix="1" applyFont="1" applyFill="1" applyBorder="1" applyAlignment="1">
      <alignment horizontal="left" vertical="center" wrapText="1"/>
    </xf>
    <xf numFmtId="49" fontId="31" fillId="6" borderId="17" xfId="15" applyNumberFormat="1" applyFont="1" applyFill="1" applyBorder="1" applyAlignment="1">
      <alignment horizontal="center" vertical="center"/>
    </xf>
    <xf numFmtId="10" fontId="47" fillId="6" borderId="17" xfId="15" applyNumberFormat="1" applyFont="1" applyFill="1" applyBorder="1" applyAlignment="1">
      <alignment horizontal="right" vertical="center"/>
    </xf>
    <xf numFmtId="0" fontId="77" fillId="6" borderId="0" xfId="15" applyFont="1" applyFill="1"/>
    <xf numFmtId="0" fontId="8" fillId="8" borderId="166" xfId="15" applyFont="1" applyFill="1" applyBorder="1" applyAlignment="1">
      <alignment horizontal="left" vertical="center" wrapText="1"/>
    </xf>
    <xf numFmtId="0" fontId="69" fillId="6" borderId="14" xfId="15" applyFont="1" applyFill="1" applyBorder="1" applyAlignment="1">
      <alignment horizontal="left" vertical="center" wrapText="1"/>
    </xf>
    <xf numFmtId="0" fontId="7" fillId="0" borderId="14" xfId="15" applyFont="1" applyFill="1" applyBorder="1" applyAlignment="1">
      <alignment horizontal="left" vertical="center" wrapText="1"/>
    </xf>
    <xf numFmtId="0" fontId="7" fillId="6" borderId="14" xfId="15" applyFont="1" applyFill="1" applyBorder="1" applyAlignment="1">
      <alignment horizontal="center" vertical="center" wrapText="1"/>
    </xf>
    <xf numFmtId="3" fontId="5" fillId="6" borderId="14" xfId="15" applyNumberFormat="1" applyFont="1" applyFill="1" applyBorder="1" applyAlignment="1">
      <alignment horizontal="right" vertical="center"/>
    </xf>
    <xf numFmtId="10" fontId="5" fillId="6" borderId="14" xfId="15" applyNumberFormat="1" applyFont="1" applyFill="1" applyBorder="1" applyAlignment="1">
      <alignment horizontal="right" vertical="center"/>
    </xf>
    <xf numFmtId="10" fontId="41" fillId="6" borderId="14" xfId="15" applyNumberFormat="1" applyFont="1" applyFill="1" applyBorder="1" applyAlignment="1">
      <alignment horizontal="right" vertical="center"/>
    </xf>
    <xf numFmtId="3" fontId="55" fillId="7" borderId="11" xfId="15" applyNumberFormat="1" applyFont="1" applyFill="1" applyBorder="1" applyAlignment="1">
      <alignment horizontal="right" vertical="center"/>
    </xf>
    <xf numFmtId="10" fontId="55" fillId="7" borderId="183" xfId="15" applyNumberFormat="1" applyFont="1" applyFill="1" applyBorder="1" applyAlignment="1">
      <alignment horizontal="right" vertical="center"/>
    </xf>
    <xf numFmtId="0" fontId="8" fillId="8" borderId="19" xfId="15" quotePrefix="1" applyFont="1" applyFill="1" applyBorder="1" applyAlignment="1">
      <alignment horizontal="left" vertical="center" wrapText="1"/>
    </xf>
    <xf numFmtId="3" fontId="74" fillId="8" borderId="182" xfId="15" applyNumberFormat="1" applyFont="1" applyFill="1" applyBorder="1" applyAlignment="1">
      <alignment horizontal="right" vertical="center"/>
    </xf>
    <xf numFmtId="10" fontId="74" fillId="8" borderId="183" xfId="15" applyNumberFormat="1" applyFont="1" applyFill="1" applyBorder="1" applyAlignment="1">
      <alignment horizontal="right" vertical="center"/>
    </xf>
    <xf numFmtId="49" fontId="7" fillId="6" borderId="166" xfId="15" quotePrefix="1" applyNumberFormat="1" applyFont="1" applyFill="1" applyBorder="1" applyAlignment="1">
      <alignment horizontal="center" vertical="center" wrapText="1"/>
    </xf>
    <xf numFmtId="3" fontId="5" fillId="6" borderId="156" xfId="15" applyNumberFormat="1" applyFont="1" applyFill="1" applyBorder="1" applyAlignment="1">
      <alignment horizontal="right" vertical="center"/>
    </xf>
    <xf numFmtId="10" fontId="41" fillId="6" borderId="157" xfId="15" applyNumberFormat="1" applyFont="1" applyFill="1" applyBorder="1" applyAlignment="1">
      <alignment horizontal="center" vertical="center"/>
    </xf>
    <xf numFmtId="3" fontId="5" fillId="0" borderId="0" xfId="15" applyNumberFormat="1" applyFont="1" applyFill="1" applyBorder="1" applyAlignment="1">
      <alignment horizontal="right" vertical="center"/>
    </xf>
    <xf numFmtId="3" fontId="48" fillId="0" borderId="0" xfId="15" applyNumberFormat="1" applyFont="1" applyFill="1" applyBorder="1" applyAlignment="1">
      <alignment horizontal="right" vertical="center"/>
    </xf>
    <xf numFmtId="10" fontId="48" fillId="0" borderId="5" xfId="15" applyNumberFormat="1" applyFont="1" applyFill="1" applyBorder="1" applyAlignment="1">
      <alignment horizontal="left" vertical="center"/>
    </xf>
    <xf numFmtId="0" fontId="51" fillId="0" borderId="156" xfId="15" applyFont="1" applyFill="1" applyBorder="1" applyAlignment="1">
      <alignment vertical="center" wrapText="1"/>
    </xf>
    <xf numFmtId="3" fontId="5" fillId="0" borderId="156" xfId="15" applyNumberFormat="1" applyFont="1" applyFill="1" applyBorder="1" applyAlignment="1">
      <alignment horizontal="right" vertical="center"/>
    </xf>
    <xf numFmtId="3" fontId="48" fillId="0" borderId="156" xfId="15" applyNumberFormat="1" applyFont="1" applyFill="1" applyBorder="1" applyAlignment="1">
      <alignment horizontal="right" vertical="center"/>
    </xf>
    <xf numFmtId="10" fontId="41" fillId="0" borderId="157" xfId="15" applyNumberFormat="1" applyFont="1" applyFill="1" applyBorder="1" applyAlignment="1">
      <alignment horizontal="left" vertical="center"/>
    </xf>
    <xf numFmtId="0" fontId="8" fillId="8" borderId="14" xfId="15" quotePrefix="1" applyFont="1" applyFill="1" applyBorder="1" applyAlignment="1">
      <alignment horizontal="left" vertical="center" wrapText="1"/>
    </xf>
    <xf numFmtId="3" fontId="74" fillId="8" borderId="0" xfId="15" applyNumberFormat="1" applyFont="1" applyFill="1" applyBorder="1" applyAlignment="1">
      <alignment horizontal="right" vertical="center"/>
    </xf>
    <xf numFmtId="3" fontId="74" fillId="8" borderId="5" xfId="15" applyNumberFormat="1" applyFont="1" applyFill="1" applyBorder="1" applyAlignment="1">
      <alignment horizontal="right" vertical="center"/>
    </xf>
    <xf numFmtId="10" fontId="74" fillId="8" borderId="5" xfId="15" applyNumberFormat="1" applyFont="1" applyFill="1" applyBorder="1" applyAlignment="1">
      <alignment horizontal="right" vertical="center"/>
    </xf>
    <xf numFmtId="0" fontId="56" fillId="8" borderId="6" xfId="15" quotePrefix="1" applyFont="1" applyFill="1" applyBorder="1" applyAlignment="1">
      <alignment horizontal="left" vertical="center" wrapText="1"/>
    </xf>
    <xf numFmtId="0" fontId="56" fillId="6" borderId="150" xfId="15" applyFont="1" applyFill="1" applyBorder="1" applyAlignment="1">
      <alignment horizontal="center" vertical="center" wrapText="1"/>
    </xf>
    <xf numFmtId="0" fontId="51" fillId="0" borderId="143" xfId="15" applyFont="1" applyFill="1" applyBorder="1" applyAlignment="1">
      <alignment horizontal="left" vertical="center" wrapText="1"/>
    </xf>
    <xf numFmtId="49" fontId="31" fillId="6" borderId="146" xfId="15" quotePrefix="1" applyNumberFormat="1" applyFont="1" applyFill="1" applyBorder="1" applyAlignment="1">
      <alignment horizontal="center" vertical="center" wrapText="1"/>
    </xf>
    <xf numFmtId="0" fontId="56" fillId="8" borderId="175" xfId="15" quotePrefix="1" applyFont="1" applyFill="1" applyBorder="1" applyAlignment="1">
      <alignment horizontal="left" vertical="center" wrapText="1"/>
    </xf>
    <xf numFmtId="49" fontId="31" fillId="6" borderId="166" xfId="15" quotePrefix="1" applyNumberFormat="1" applyFont="1" applyFill="1" applyBorder="1" applyAlignment="1">
      <alignment horizontal="center" vertical="center" wrapText="1"/>
    </xf>
    <xf numFmtId="49" fontId="51" fillId="6" borderId="144" xfId="15" applyNumberFormat="1" applyFont="1" applyFill="1" applyBorder="1" applyAlignment="1">
      <alignment horizontal="center" vertical="center" wrapText="1"/>
    </xf>
    <xf numFmtId="0" fontId="51" fillId="0" borderId="181" xfId="15" applyFont="1" applyFill="1" applyBorder="1" applyAlignment="1">
      <alignment horizontal="left" vertical="center" wrapText="1"/>
    </xf>
    <xf numFmtId="10" fontId="48" fillId="0" borderId="166" xfId="15" applyNumberFormat="1" applyFont="1" applyFill="1" applyBorder="1" applyAlignment="1">
      <alignment horizontal="left" vertical="center" wrapText="1"/>
    </xf>
    <xf numFmtId="0" fontId="51" fillId="0" borderId="156" xfId="15" applyFont="1" applyFill="1" applyBorder="1" applyAlignment="1">
      <alignment horizontal="left" vertical="center" wrapText="1"/>
    </xf>
    <xf numFmtId="49" fontId="51" fillId="6" borderId="146" xfId="15" applyNumberFormat="1" applyFont="1" applyFill="1" applyBorder="1" applyAlignment="1">
      <alignment horizontal="center" vertical="center" wrapText="1"/>
    </xf>
    <xf numFmtId="49" fontId="51" fillId="6" borderId="6" xfId="15" applyNumberFormat="1" applyFont="1" applyFill="1" applyBorder="1" applyAlignment="1">
      <alignment horizontal="center" vertical="center" wrapText="1"/>
    </xf>
    <xf numFmtId="0" fontId="56" fillId="8" borderId="146" xfId="15" quotePrefix="1" applyFont="1" applyFill="1" applyBorder="1" applyAlignment="1">
      <alignment horizontal="left" vertical="center" wrapText="1"/>
    </xf>
    <xf numFmtId="0" fontId="31" fillId="0" borderId="18" xfId="15" quotePrefix="1" applyFont="1" applyFill="1" applyBorder="1" applyAlignment="1">
      <alignment horizontal="left" vertical="center" wrapText="1"/>
    </xf>
    <xf numFmtId="0" fontId="31" fillId="0" borderId="18" xfId="15" quotePrefix="1" applyFont="1" applyFill="1" applyBorder="1" applyAlignment="1">
      <alignment horizontal="center" vertical="center" wrapText="1"/>
    </xf>
    <xf numFmtId="3" fontId="48" fillId="0" borderId="5" xfId="15" applyNumberFormat="1" applyFont="1" applyFill="1" applyBorder="1" applyAlignment="1">
      <alignment horizontal="right" vertical="center"/>
    </xf>
    <xf numFmtId="10" fontId="47" fillId="0" borderId="18" xfId="15" applyNumberFormat="1" applyFont="1" applyFill="1" applyBorder="1" applyAlignment="1">
      <alignment horizontal="right" vertical="center"/>
    </xf>
    <xf numFmtId="0" fontId="51" fillId="6" borderId="166" xfId="15" applyFont="1" applyFill="1" applyBorder="1" applyAlignment="1">
      <alignment vertical="center" wrapText="1"/>
    </xf>
    <xf numFmtId="0" fontId="51" fillId="0" borderId="166" xfId="15" applyFont="1" applyFill="1" applyBorder="1" applyAlignment="1">
      <alignment horizontal="center" vertical="center" wrapText="1"/>
    </xf>
    <xf numFmtId="0" fontId="51" fillId="6" borderId="150" xfId="15" applyFont="1" applyFill="1" applyBorder="1" applyAlignment="1">
      <alignment vertical="center" wrapText="1"/>
    </xf>
    <xf numFmtId="0" fontId="51" fillId="6" borderId="18" xfId="15" applyFont="1" applyFill="1" applyBorder="1" applyAlignment="1">
      <alignment horizontal="center" vertical="center" wrapText="1"/>
    </xf>
    <xf numFmtId="3" fontId="48" fillId="6" borderId="148" xfId="15" applyNumberFormat="1" applyFont="1" applyFill="1" applyBorder="1" applyAlignment="1">
      <alignment horizontal="right" vertical="center"/>
    </xf>
    <xf numFmtId="10" fontId="48" fillId="0" borderId="150" xfId="15" applyNumberFormat="1" applyFont="1" applyFill="1" applyBorder="1" applyAlignment="1">
      <alignment horizontal="right" vertical="center"/>
    </xf>
    <xf numFmtId="10" fontId="48" fillId="6" borderId="166" xfId="15" applyNumberFormat="1" applyFont="1" applyFill="1" applyBorder="1" applyAlignment="1">
      <alignment horizontal="left" vertical="center"/>
    </xf>
    <xf numFmtId="0" fontId="51" fillId="6" borderId="166" xfId="15" applyFont="1" applyFill="1" applyBorder="1" applyAlignment="1">
      <alignment horizontal="center" vertical="center" wrapText="1"/>
    </xf>
    <xf numFmtId="3" fontId="48" fillId="0" borderId="148" xfId="15" applyNumberFormat="1" applyFont="1" applyFill="1" applyBorder="1" applyAlignment="1">
      <alignment horizontal="right" vertical="center"/>
    </xf>
    <xf numFmtId="0" fontId="51" fillId="6" borderId="150" xfId="15" applyFont="1" applyFill="1" applyBorder="1" applyAlignment="1">
      <alignment horizontal="center" vertical="center" wrapText="1"/>
    </xf>
    <xf numFmtId="3" fontId="48" fillId="0" borderId="143" xfId="15" applyNumberFormat="1" applyFont="1" applyFill="1" applyBorder="1" applyAlignment="1">
      <alignment horizontal="right" vertical="center"/>
    </xf>
    <xf numFmtId="0" fontId="51" fillId="6" borderId="14" xfId="15" applyFont="1" applyFill="1" applyBorder="1" applyAlignment="1">
      <alignment vertical="center" wrapText="1"/>
    </xf>
    <xf numFmtId="0" fontId="51" fillId="6" borderId="7" xfId="15" applyFont="1" applyFill="1" applyBorder="1" applyAlignment="1">
      <alignment horizontal="center" vertical="center" wrapText="1"/>
    </xf>
    <xf numFmtId="0" fontId="46" fillId="7" borderId="13" xfId="15" applyFont="1" applyFill="1" applyBorder="1" applyAlignment="1">
      <alignment horizontal="center" vertical="center" wrapText="1"/>
    </xf>
    <xf numFmtId="0" fontId="31" fillId="7" borderId="56" xfId="15" quotePrefix="1" applyFont="1" applyFill="1" applyBorder="1" applyAlignment="1">
      <alignment horizontal="center" vertical="center" wrapText="1"/>
    </xf>
    <xf numFmtId="0" fontId="31" fillId="8" borderId="11" xfId="15" quotePrefix="1" applyFont="1" applyFill="1" applyBorder="1" applyAlignment="1">
      <alignment horizontal="center" vertical="center" wrapText="1"/>
    </xf>
    <xf numFmtId="49" fontId="31" fillId="6" borderId="146" xfId="15" applyNumberFormat="1" applyFont="1" applyFill="1" applyBorder="1" applyAlignment="1">
      <alignment horizontal="center" vertical="center" wrapText="1"/>
    </xf>
    <xf numFmtId="10" fontId="48" fillId="0" borderId="166" xfId="15" applyNumberFormat="1" applyFont="1" applyFill="1" applyBorder="1" applyAlignment="1">
      <alignment horizontal="left" vertical="center"/>
    </xf>
    <xf numFmtId="0" fontId="31" fillId="6" borderId="158" xfId="15" quotePrefix="1" applyFont="1" applyFill="1" applyBorder="1" applyAlignment="1">
      <alignment horizontal="center" vertical="center" wrapText="1"/>
    </xf>
    <xf numFmtId="0" fontId="31" fillId="8" borderId="175" xfId="15" quotePrefix="1" applyFont="1" applyFill="1" applyBorder="1" applyAlignment="1">
      <alignment horizontal="center" vertical="center" wrapText="1"/>
    </xf>
    <xf numFmtId="0" fontId="9" fillId="7" borderId="4" xfId="15" applyFont="1" applyFill="1" applyBorder="1" applyAlignment="1">
      <alignment horizontal="left" vertical="center" wrapText="1"/>
    </xf>
    <xf numFmtId="3" fontId="48" fillId="7" borderId="4" xfId="15" applyNumberFormat="1" applyFont="1" applyFill="1" applyBorder="1" applyAlignment="1">
      <alignment horizontal="right" vertical="center"/>
    </xf>
    <xf numFmtId="10" fontId="48" fillId="7" borderId="4" xfId="15" applyNumberFormat="1" applyFont="1" applyFill="1" applyBorder="1" applyAlignment="1">
      <alignment horizontal="right" vertical="center"/>
    </xf>
    <xf numFmtId="0" fontId="7" fillId="8" borderId="141" xfId="15" quotePrefix="1" applyFont="1" applyFill="1" applyBorder="1" applyAlignment="1">
      <alignment horizontal="center" vertical="center" wrapText="1"/>
    </xf>
    <xf numFmtId="3" fontId="5" fillId="8" borderId="19" xfId="15" applyNumberFormat="1" applyFont="1" applyFill="1" applyBorder="1" applyAlignment="1">
      <alignment horizontal="right" vertical="center"/>
    </xf>
    <xf numFmtId="10" fontId="55" fillId="8" borderId="19" xfId="15" applyNumberFormat="1" applyFont="1" applyFill="1" applyBorder="1" applyAlignment="1">
      <alignment horizontal="right" vertical="center"/>
    </xf>
    <xf numFmtId="10" fontId="5" fillId="8" borderId="19" xfId="15" applyNumberFormat="1" applyFont="1" applyFill="1" applyBorder="1" applyAlignment="1">
      <alignment horizontal="right" vertical="center"/>
    </xf>
    <xf numFmtId="0" fontId="7" fillId="0" borderId="17" xfId="15" applyFont="1" applyFill="1" applyBorder="1" applyAlignment="1">
      <alignment horizontal="left" vertical="center" wrapText="1"/>
    </xf>
    <xf numFmtId="0" fontId="8" fillId="8" borderId="166" xfId="15" quotePrefix="1" applyFont="1" applyFill="1" applyBorder="1" applyAlignment="1">
      <alignment horizontal="left" vertical="center" wrapText="1"/>
    </xf>
    <xf numFmtId="10" fontId="55" fillId="8" borderId="17" xfId="15" applyNumberFormat="1" applyFont="1" applyFill="1" applyBorder="1" applyAlignment="1">
      <alignment horizontal="right" vertical="center"/>
    </xf>
    <xf numFmtId="10" fontId="71" fillId="7" borderId="4" xfId="15" applyNumberFormat="1" applyFont="1" applyFill="1" applyBorder="1" applyAlignment="1">
      <alignment horizontal="right" vertical="center"/>
    </xf>
    <xf numFmtId="10" fontId="41" fillId="8" borderId="19" xfId="15" applyNumberFormat="1" applyFont="1" applyFill="1" applyBorder="1" applyAlignment="1">
      <alignment horizontal="right" vertical="center"/>
    </xf>
    <xf numFmtId="0" fontId="8" fillId="8" borderId="150" xfId="15" quotePrefix="1" applyFont="1" applyFill="1" applyBorder="1" applyAlignment="1">
      <alignment horizontal="left" vertical="center" wrapText="1"/>
    </xf>
    <xf numFmtId="0" fontId="8" fillId="8" borderId="144" xfId="15" quotePrefix="1" applyFont="1" applyFill="1" applyBorder="1" applyAlignment="1">
      <alignment horizontal="left" vertical="center" wrapText="1"/>
    </xf>
    <xf numFmtId="3" fontId="74" fillId="8" borderId="18" xfId="15" applyNumberFormat="1" applyFont="1" applyFill="1" applyBorder="1" applyAlignment="1">
      <alignment horizontal="right" vertical="center"/>
    </xf>
    <xf numFmtId="10" fontId="74" fillId="8" borderId="18" xfId="15" applyNumberFormat="1" applyFont="1" applyFill="1" applyBorder="1" applyAlignment="1">
      <alignment horizontal="right" vertical="center"/>
    </xf>
    <xf numFmtId="0" fontId="44" fillId="0" borderId="170" xfId="15" applyFont="1" applyFill="1" applyBorder="1" applyAlignment="1">
      <alignment vertical="center" wrapText="1"/>
    </xf>
    <xf numFmtId="49" fontId="44" fillId="6" borderId="146" xfId="15" applyNumberFormat="1" applyFont="1" applyFill="1" applyBorder="1" applyAlignment="1">
      <alignment horizontal="center" vertical="center" wrapText="1"/>
    </xf>
    <xf numFmtId="0" fontId="44" fillId="0" borderId="120" xfId="15" applyFont="1" applyFill="1" applyBorder="1" applyAlignment="1">
      <alignment vertical="center" wrapText="1"/>
    </xf>
    <xf numFmtId="0" fontId="44" fillId="0" borderId="0" xfId="15" applyFont="1" applyFill="1" applyBorder="1" applyAlignment="1">
      <alignment horizontal="left" vertical="center" wrapText="1"/>
    </xf>
    <xf numFmtId="49" fontId="44" fillId="6" borderId="150" xfId="15" applyNumberFormat="1" applyFont="1" applyFill="1" applyBorder="1" applyAlignment="1">
      <alignment horizontal="center" vertical="center" wrapText="1"/>
    </xf>
    <xf numFmtId="10" fontId="5" fillId="0" borderId="150" xfId="15" applyNumberFormat="1" applyFont="1" applyFill="1" applyBorder="1" applyAlignment="1">
      <alignment horizontal="left" vertical="center" wrapText="1"/>
    </xf>
    <xf numFmtId="49" fontId="44" fillId="6" borderId="166" xfId="15" applyNumberFormat="1" applyFont="1" applyFill="1" applyBorder="1" applyAlignment="1">
      <alignment horizontal="center" vertical="center" wrapText="1"/>
    </xf>
    <xf numFmtId="10" fontId="73" fillId="8" borderId="7" xfId="15" applyNumberFormat="1" applyFont="1" applyFill="1" applyBorder="1" applyAlignment="1">
      <alignment horizontal="right" vertical="center"/>
    </xf>
    <xf numFmtId="0" fontId="8" fillId="0" borderId="126" xfId="15" applyFont="1" applyFill="1" applyBorder="1" applyAlignment="1">
      <alignment horizontal="center" vertical="center" wrapText="1"/>
    </xf>
    <xf numFmtId="0" fontId="7" fillId="6" borderId="144" xfId="15" quotePrefix="1" applyFont="1" applyFill="1" applyBorder="1" applyAlignment="1">
      <alignment horizontal="center" vertical="center" wrapText="1"/>
    </xf>
    <xf numFmtId="0" fontId="44" fillId="6" borderId="181" xfId="15" applyFont="1" applyFill="1" applyBorder="1" applyAlignment="1">
      <alignment horizontal="left" vertical="center" wrapText="1"/>
    </xf>
    <xf numFmtId="49" fontId="82" fillId="8" borderId="6" xfId="15" applyNumberFormat="1" applyFont="1" applyFill="1" applyBorder="1" applyAlignment="1">
      <alignment vertical="center" wrapText="1"/>
    </xf>
    <xf numFmtId="3" fontId="74" fillId="8" borderId="17" xfId="15" applyNumberFormat="1" applyFont="1" applyFill="1" applyBorder="1" applyAlignment="1">
      <alignment horizontal="right" vertical="center"/>
    </xf>
    <xf numFmtId="10" fontId="74" fillId="8" borderId="17" xfId="15" applyNumberFormat="1" applyFont="1" applyFill="1" applyBorder="1" applyAlignment="1">
      <alignment horizontal="right" vertical="center"/>
    </xf>
    <xf numFmtId="0" fontId="12" fillId="4" borderId="12" xfId="15" applyFont="1" applyFill="1" applyBorder="1" applyAlignment="1">
      <alignment vertical="center" wrapText="1"/>
    </xf>
    <xf numFmtId="0" fontId="7" fillId="0" borderId="181" xfId="15" applyFont="1" applyFill="1" applyBorder="1" applyAlignment="1">
      <alignment horizontal="left" vertical="center" wrapText="1"/>
    </xf>
    <xf numFmtId="49" fontId="8" fillId="8" borderId="146" xfId="15" quotePrefix="1" applyNumberFormat="1" applyFont="1" applyFill="1" applyBorder="1" applyAlignment="1">
      <alignment horizontal="center" vertical="center" wrapText="1"/>
    </xf>
    <xf numFmtId="10" fontId="5" fillId="8" borderId="18" xfId="15" applyNumberFormat="1" applyFont="1" applyFill="1" applyBorder="1" applyAlignment="1">
      <alignment horizontal="right" vertical="center"/>
    </xf>
    <xf numFmtId="0" fontId="8" fillId="0" borderId="0" xfId="15" applyFont="1" applyFill="1" applyBorder="1" applyAlignment="1">
      <alignment horizontal="left" vertical="center" wrapText="1"/>
    </xf>
    <xf numFmtId="0" fontId="7" fillId="0" borderId="7" xfId="15" quotePrefix="1" applyFont="1" applyFill="1" applyBorder="1" applyAlignment="1">
      <alignment horizontal="left" vertical="center" wrapText="1"/>
    </xf>
    <xf numFmtId="49" fontId="7" fillId="0" borderId="6" xfId="15" quotePrefix="1" applyNumberFormat="1" applyFont="1" applyFill="1" applyBorder="1" applyAlignment="1">
      <alignment horizontal="center" vertical="center" wrapText="1"/>
    </xf>
    <xf numFmtId="3" fontId="74" fillId="0" borderId="17" xfId="15" applyNumberFormat="1" applyFont="1" applyFill="1" applyBorder="1" applyAlignment="1">
      <alignment horizontal="right" vertical="center"/>
    </xf>
    <xf numFmtId="10" fontId="74" fillId="0" borderId="17" xfId="15" applyNumberFormat="1" applyFont="1" applyFill="1" applyBorder="1" applyAlignment="1">
      <alignment horizontal="right" vertical="center"/>
    </xf>
    <xf numFmtId="0" fontId="75" fillId="0" borderId="0" xfId="15" applyFont="1" applyFill="1"/>
    <xf numFmtId="0" fontId="53" fillId="4" borderId="4" xfId="15" applyFont="1" applyFill="1" applyBorder="1" applyAlignment="1">
      <alignment horizontal="center" vertical="center" wrapText="1"/>
    </xf>
    <xf numFmtId="0" fontId="50" fillId="4" borderId="12" xfId="15" applyFont="1" applyFill="1" applyBorder="1" applyAlignment="1">
      <alignment horizontal="center" vertical="center" wrapText="1"/>
    </xf>
    <xf numFmtId="0" fontId="53" fillId="4" borderId="9" xfId="15" applyFont="1" applyFill="1" applyBorder="1" applyAlignment="1">
      <alignment vertical="center" wrapText="1"/>
    </xf>
    <xf numFmtId="0" fontId="31" fillId="0" borderId="156" xfId="15" quotePrefix="1" applyFont="1" applyFill="1" applyBorder="1" applyAlignment="1">
      <alignment horizontal="left" vertical="center" wrapText="1"/>
    </xf>
    <xf numFmtId="49" fontId="31" fillId="6" borderId="166" xfId="15" applyNumberFormat="1" applyFont="1" applyFill="1" applyBorder="1" applyAlignment="1">
      <alignment horizontal="center" vertical="center" wrapText="1"/>
    </xf>
    <xf numFmtId="0" fontId="51" fillId="0" borderId="181" xfId="15" applyFont="1" applyFill="1" applyBorder="1" applyAlignment="1">
      <alignment vertical="center" wrapText="1"/>
    </xf>
    <xf numFmtId="49" fontId="31" fillId="6" borderId="144" xfId="15" applyNumberFormat="1" applyFont="1" applyFill="1" applyBorder="1" applyAlignment="1">
      <alignment horizontal="center" vertical="center" wrapText="1"/>
    </xf>
    <xf numFmtId="0" fontId="51" fillId="6" borderId="144" xfId="15" applyFont="1" applyFill="1" applyBorder="1" applyAlignment="1">
      <alignment horizontal="center" vertical="center" wrapText="1"/>
    </xf>
    <xf numFmtId="0" fontId="56" fillId="8" borderId="144" xfId="15" quotePrefix="1" applyFont="1" applyFill="1" applyBorder="1" applyAlignment="1">
      <alignment horizontal="left" vertical="center" wrapText="1"/>
    </xf>
    <xf numFmtId="0" fontId="51" fillId="6" borderId="6" xfId="15" applyFont="1" applyFill="1" applyBorder="1" applyAlignment="1">
      <alignment horizontal="center" vertical="center" wrapText="1"/>
    </xf>
    <xf numFmtId="0" fontId="51" fillId="0" borderId="148" xfId="15" applyFont="1" applyFill="1" applyBorder="1" applyAlignment="1">
      <alignment vertical="center" wrapText="1"/>
    </xf>
    <xf numFmtId="0" fontId="78" fillId="0" borderId="17" xfId="15" applyFont="1" applyBorder="1" applyAlignment="1">
      <alignment horizontal="center" vertical="center" wrapText="1"/>
    </xf>
    <xf numFmtId="0" fontId="46" fillId="7" borderId="4" xfId="15" applyFont="1" applyFill="1" applyBorder="1" applyAlignment="1">
      <alignment horizontal="center" vertical="center" wrapText="1"/>
    </xf>
    <xf numFmtId="0" fontId="56" fillId="7" borderId="56" xfId="15" quotePrefix="1" applyFont="1" applyFill="1" applyBorder="1" applyAlignment="1">
      <alignment horizontal="left" vertical="center" wrapText="1"/>
    </xf>
    <xf numFmtId="0" fontId="56" fillId="8" borderId="11" xfId="15" quotePrefix="1" applyFont="1" applyFill="1" applyBorder="1" applyAlignment="1">
      <alignment horizontal="left" vertical="center" wrapText="1"/>
    </xf>
    <xf numFmtId="0" fontId="78" fillId="0" borderId="6" xfId="15" applyFont="1" applyBorder="1" applyAlignment="1">
      <alignment horizontal="center" vertical="center" wrapText="1"/>
    </xf>
    <xf numFmtId="0" fontId="31" fillId="0" borderId="181" xfId="15" quotePrefix="1" applyFont="1" applyFill="1" applyBorder="1" applyAlignment="1">
      <alignment horizontal="left" wrapText="1"/>
    </xf>
    <xf numFmtId="49" fontId="31" fillId="0" borderId="166" xfId="15" quotePrefix="1" applyNumberFormat="1" applyFont="1" applyFill="1" applyBorder="1" applyAlignment="1">
      <alignment horizontal="center" vertical="center" wrapText="1"/>
    </xf>
    <xf numFmtId="3" fontId="48" fillId="0" borderId="157" xfId="15" applyNumberFormat="1" applyFont="1" applyFill="1" applyBorder="1" applyAlignment="1">
      <alignment horizontal="right" vertical="center"/>
    </xf>
    <xf numFmtId="10" fontId="48" fillId="0" borderId="157" xfId="15" applyNumberFormat="1" applyFont="1" applyFill="1" applyBorder="1" applyAlignment="1">
      <alignment horizontal="right" vertical="center"/>
    </xf>
    <xf numFmtId="0" fontId="78" fillId="6" borderId="17" xfId="15" applyFont="1" applyFill="1" applyBorder="1" applyAlignment="1">
      <alignment horizontal="center" vertical="center" wrapText="1"/>
    </xf>
    <xf numFmtId="0" fontId="31" fillId="6" borderId="126" xfId="15" quotePrefix="1" applyFont="1" applyFill="1" applyBorder="1" applyAlignment="1">
      <alignment horizontal="left" vertical="center" wrapText="1"/>
    </xf>
    <xf numFmtId="10" fontId="48" fillId="6" borderId="17" xfId="15" applyNumberFormat="1" applyFont="1" applyFill="1" applyBorder="1" applyAlignment="1">
      <alignment horizontal="right" vertical="center"/>
    </xf>
    <xf numFmtId="3" fontId="41" fillId="6" borderId="150" xfId="15" applyNumberFormat="1" applyFont="1" applyFill="1" applyBorder="1" applyAlignment="1">
      <alignment horizontal="right" vertical="center"/>
    </xf>
    <xf numFmtId="10" fontId="48" fillId="6" borderId="150" xfId="15" applyNumberFormat="1" applyFont="1" applyFill="1" applyBorder="1" applyAlignment="1">
      <alignment horizontal="right" vertical="center"/>
    </xf>
    <xf numFmtId="0" fontId="56" fillId="8" borderId="158" xfId="15" quotePrefix="1" applyFont="1" applyFill="1" applyBorder="1" applyAlignment="1">
      <alignment horizontal="left" vertical="center" wrapText="1"/>
    </xf>
    <xf numFmtId="3" fontId="47" fillId="8" borderId="150" xfId="15" applyNumberFormat="1" applyFont="1" applyFill="1" applyBorder="1" applyAlignment="1">
      <alignment horizontal="right" vertical="center"/>
    </xf>
    <xf numFmtId="10" fontId="47" fillId="8" borderId="150" xfId="15" applyNumberFormat="1" applyFont="1" applyFill="1" applyBorder="1" applyAlignment="1">
      <alignment horizontal="right" vertical="center"/>
    </xf>
    <xf numFmtId="0" fontId="9" fillId="7" borderId="13" xfId="15" quotePrefix="1" applyFont="1" applyFill="1" applyBorder="1" applyAlignment="1">
      <alignment horizontal="left" vertical="center" wrapText="1"/>
    </xf>
    <xf numFmtId="0" fontId="75" fillId="6" borderId="0" xfId="15" applyFont="1" applyFill="1"/>
    <xf numFmtId="0" fontId="8" fillId="6" borderId="166" xfId="15" applyFont="1" applyFill="1" applyBorder="1" applyAlignment="1">
      <alignment horizontal="left" vertical="center"/>
    </xf>
    <xf numFmtId="0" fontId="7" fillId="6" borderId="148" xfId="15" quotePrefix="1" applyFont="1" applyFill="1" applyBorder="1" applyAlignment="1">
      <alignment horizontal="left" vertical="center" wrapText="1"/>
    </xf>
    <xf numFmtId="0" fontId="7" fillId="6" borderId="184" xfId="15" applyFont="1" applyFill="1" applyBorder="1" applyAlignment="1">
      <alignment horizontal="left" vertical="center" wrapText="1"/>
    </xf>
    <xf numFmtId="0" fontId="7" fillId="6" borderId="180" xfId="15" quotePrefix="1" applyFont="1" applyFill="1" applyBorder="1" applyAlignment="1">
      <alignment horizontal="center" vertical="center" wrapText="1"/>
    </xf>
    <xf numFmtId="3" fontId="5" fillId="6" borderId="7" xfId="15" applyNumberFormat="1" applyFont="1" applyFill="1" applyBorder="1" applyAlignment="1">
      <alignment horizontal="right" vertical="center"/>
    </xf>
    <xf numFmtId="10" fontId="5" fillId="6" borderId="7" xfId="15" applyNumberFormat="1" applyFont="1" applyFill="1" applyBorder="1" applyAlignment="1">
      <alignment horizontal="right" vertical="center"/>
    </xf>
    <xf numFmtId="0" fontId="56" fillId="7" borderId="12" xfId="15" quotePrefix="1" applyFont="1" applyFill="1" applyBorder="1" applyAlignment="1">
      <alignment horizontal="left" vertical="center" wrapText="1"/>
    </xf>
    <xf numFmtId="0" fontId="56" fillId="8" borderId="141" xfId="15" quotePrefix="1" applyFont="1" applyFill="1" applyBorder="1" applyAlignment="1">
      <alignment horizontal="left" vertical="center" wrapText="1"/>
    </xf>
    <xf numFmtId="0" fontId="46" fillId="6" borderId="150" xfId="15" applyFont="1" applyFill="1" applyBorder="1" applyAlignment="1">
      <alignment horizontal="center" vertical="center" wrapText="1"/>
    </xf>
    <xf numFmtId="0" fontId="31" fillId="6" borderId="150" xfId="15" quotePrefix="1" applyFont="1" applyFill="1" applyBorder="1" applyAlignment="1">
      <alignment horizontal="center" vertical="center" wrapText="1"/>
    </xf>
    <xf numFmtId="0" fontId="56" fillId="8" borderId="180" xfId="15" quotePrefix="1" applyFont="1" applyFill="1" applyBorder="1" applyAlignment="1">
      <alignment horizontal="left" vertical="center" wrapText="1"/>
    </xf>
    <xf numFmtId="0" fontId="7" fillId="6" borderId="18" xfId="15" quotePrefix="1" applyFont="1" applyFill="1" applyBorder="1" applyAlignment="1">
      <alignment horizontal="left" vertical="center" wrapText="1"/>
    </xf>
    <xf numFmtId="3" fontId="5" fillId="6" borderId="18" xfId="15" applyNumberFormat="1" applyFont="1" applyFill="1" applyBorder="1" applyAlignment="1">
      <alignment horizontal="right" vertical="center"/>
    </xf>
    <xf numFmtId="10" fontId="48" fillId="0" borderId="126" xfId="15" applyNumberFormat="1" applyFont="1" applyFill="1" applyBorder="1" applyAlignment="1">
      <alignment horizontal="right" vertical="center"/>
    </xf>
    <xf numFmtId="0" fontId="7" fillId="6" borderId="166" xfId="15" quotePrefix="1" applyFont="1" applyFill="1" applyBorder="1" applyAlignment="1">
      <alignment horizontal="left" vertical="center" wrapText="1"/>
    </xf>
    <xf numFmtId="10" fontId="48" fillId="0" borderId="148" xfId="15" applyNumberFormat="1" applyFont="1" applyFill="1" applyBorder="1" applyAlignment="1">
      <alignment horizontal="right" vertical="center"/>
    </xf>
    <xf numFmtId="0" fontId="7" fillId="0" borderId="150" xfId="15" applyFont="1" applyFill="1" applyBorder="1" applyAlignment="1">
      <alignment wrapText="1"/>
    </xf>
    <xf numFmtId="0" fontId="7" fillId="0" borderId="166" xfId="15" applyFont="1" applyFill="1" applyBorder="1" applyAlignment="1">
      <alignment wrapText="1"/>
    </xf>
    <xf numFmtId="0" fontId="7" fillId="0" borderId="17" xfId="15" quotePrefix="1" applyFont="1" applyFill="1" applyBorder="1" applyAlignment="1">
      <alignment horizontal="left" vertical="center" wrapText="1"/>
    </xf>
    <xf numFmtId="0" fontId="7" fillId="0" borderId="166" xfId="15" quotePrefix="1" applyFont="1" applyFill="1" applyBorder="1" applyAlignment="1">
      <alignment horizontal="left" vertical="center" wrapText="1"/>
    </xf>
    <xf numFmtId="0" fontId="7" fillId="0" borderId="150" xfId="15" quotePrefix="1" applyFont="1" applyFill="1" applyBorder="1" applyAlignment="1">
      <alignment horizontal="left" vertical="center" wrapText="1"/>
    </xf>
    <xf numFmtId="0" fontId="7" fillId="6" borderId="150" xfId="15" quotePrefix="1" applyFont="1" applyFill="1" applyBorder="1" applyAlignment="1">
      <alignment vertical="center" wrapText="1"/>
    </xf>
    <xf numFmtId="0" fontId="7" fillId="6" borderId="150" xfId="15" quotePrefix="1" applyFont="1" applyFill="1" applyBorder="1" applyAlignment="1">
      <alignment horizontal="left" vertical="center" wrapText="1"/>
    </xf>
    <xf numFmtId="0" fontId="7" fillId="6" borderId="166" xfId="15" quotePrefix="1" applyFont="1" applyFill="1" applyBorder="1" applyAlignment="1">
      <alignment vertical="center" wrapText="1"/>
    </xf>
    <xf numFmtId="3" fontId="5" fillId="6" borderId="150" xfId="15" applyNumberFormat="1" applyFont="1" applyFill="1" applyBorder="1" applyAlignment="1">
      <alignment horizontal="right" vertical="center"/>
    </xf>
    <xf numFmtId="0" fontId="7" fillId="6" borderId="166" xfId="15" quotePrefix="1" applyFont="1" applyFill="1" applyBorder="1" applyAlignment="1">
      <alignment horizontal="center" vertical="center" wrapText="1"/>
    </xf>
    <xf numFmtId="0" fontId="7" fillId="0" borderId="150" xfId="15" quotePrefix="1" applyFont="1" applyFill="1" applyBorder="1" applyAlignment="1">
      <alignment vertical="center" wrapText="1"/>
    </xf>
    <xf numFmtId="0" fontId="7" fillId="6" borderId="150" xfId="15" quotePrefix="1" applyFont="1" applyFill="1" applyBorder="1" applyAlignment="1">
      <alignment horizontal="center" vertical="center" wrapText="1"/>
    </xf>
    <xf numFmtId="0" fontId="7" fillId="6" borderId="158" xfId="15" quotePrefix="1" applyFont="1" applyFill="1" applyBorder="1" applyAlignment="1">
      <alignment horizontal="center" vertical="center" wrapText="1"/>
    </xf>
    <xf numFmtId="0" fontId="7" fillId="0" borderId="7" xfId="15" quotePrefix="1" applyFont="1" applyFill="1" applyBorder="1" applyAlignment="1">
      <alignment vertical="center" wrapText="1"/>
    </xf>
    <xf numFmtId="3" fontId="5" fillId="0" borderId="7" xfId="15" applyNumberFormat="1" applyFont="1" applyFill="1" applyBorder="1" applyAlignment="1">
      <alignment horizontal="right" vertical="center"/>
    </xf>
    <xf numFmtId="0" fontId="8" fillId="8" borderId="141" xfId="15" applyFont="1" applyFill="1" applyBorder="1" applyAlignment="1">
      <alignment horizontal="left" vertical="center" wrapText="1"/>
    </xf>
    <xf numFmtId="0" fontId="8" fillId="0" borderId="166" xfId="15" applyFont="1" applyBorder="1" applyAlignment="1">
      <alignment horizontal="center" vertical="center" wrapText="1"/>
    </xf>
    <xf numFmtId="0" fontId="7" fillId="0" borderId="17" xfId="15" quotePrefix="1" applyFont="1" applyFill="1" applyBorder="1" applyAlignment="1">
      <alignment vertical="center" wrapText="1"/>
    </xf>
    <xf numFmtId="0" fontId="44" fillId="0" borderId="0" xfId="15" applyFont="1" applyFill="1" applyBorder="1" applyAlignment="1">
      <alignment vertical="center" wrapText="1"/>
    </xf>
    <xf numFmtId="0" fontId="51" fillId="0" borderId="166" xfId="15" applyFont="1" applyFill="1" applyBorder="1" applyAlignment="1">
      <alignment vertical="center" wrapText="1"/>
    </xf>
    <xf numFmtId="0" fontId="56" fillId="8" borderId="144" xfId="15" applyFont="1" applyFill="1" applyBorder="1" applyAlignment="1">
      <alignment horizontal="left" vertical="center" wrapText="1"/>
    </xf>
    <xf numFmtId="0" fontId="80" fillId="4" borderId="9" xfId="1" applyFont="1" applyFill="1" applyBorder="1" applyAlignment="1">
      <alignment vertical="center" wrapText="1"/>
    </xf>
    <xf numFmtId="10" fontId="71" fillId="4" borderId="19" xfId="15" applyNumberFormat="1" applyFont="1" applyFill="1" applyBorder="1" applyAlignment="1">
      <alignment horizontal="right" vertical="center"/>
    </xf>
    <xf numFmtId="0" fontId="56" fillId="8" borderId="144" xfId="1" applyFont="1" applyFill="1" applyBorder="1" applyAlignment="1">
      <alignment horizontal="left" vertical="center" wrapText="1"/>
    </xf>
    <xf numFmtId="0" fontId="50" fillId="6" borderId="148" xfId="1" applyFont="1" applyFill="1" applyBorder="1" applyAlignment="1">
      <alignment horizontal="center" vertical="center" wrapText="1"/>
    </xf>
    <xf numFmtId="0" fontId="51" fillId="0" borderId="156" xfId="1" applyFont="1" applyFill="1" applyBorder="1" applyAlignment="1">
      <alignment vertical="center" wrapText="1"/>
    </xf>
    <xf numFmtId="0" fontId="51" fillId="6" borderId="146" xfId="1" applyFont="1" applyFill="1" applyBorder="1" applyAlignment="1">
      <alignment horizontal="center" vertical="center" wrapText="1"/>
    </xf>
    <xf numFmtId="0" fontId="56" fillId="8" borderId="158" xfId="1" applyFont="1" applyFill="1" applyBorder="1" applyAlignment="1">
      <alignment horizontal="left" vertical="center" wrapText="1"/>
    </xf>
    <xf numFmtId="10" fontId="45" fillId="8" borderId="19" xfId="15" applyNumberFormat="1" applyFont="1" applyFill="1" applyBorder="1" applyAlignment="1">
      <alignment horizontal="right" vertical="center"/>
    </xf>
    <xf numFmtId="0" fontId="56" fillId="6" borderId="166" xfId="1" applyFont="1" applyFill="1" applyBorder="1" applyAlignment="1">
      <alignment horizontal="left" vertical="center" wrapText="1"/>
    </xf>
    <xf numFmtId="0" fontId="31" fillId="6" borderId="156" xfId="1" applyFont="1" applyFill="1" applyBorder="1" applyAlignment="1">
      <alignment horizontal="left" vertical="center" wrapText="1"/>
    </xf>
    <xf numFmtId="0" fontId="31" fillId="6" borderId="166" xfId="1" applyFont="1" applyFill="1" applyBorder="1" applyAlignment="1">
      <alignment horizontal="center" vertical="center" wrapText="1"/>
    </xf>
    <xf numFmtId="3" fontId="48" fillId="6" borderId="157" xfId="15" applyNumberFormat="1" applyFont="1" applyFill="1" applyBorder="1" applyAlignment="1">
      <alignment horizontal="right" vertical="center"/>
    </xf>
    <xf numFmtId="10" fontId="45" fillId="6" borderId="166" xfId="15" applyNumberFormat="1" applyFont="1" applyFill="1" applyBorder="1" applyAlignment="1">
      <alignment horizontal="right" vertical="center"/>
    </xf>
    <xf numFmtId="10" fontId="48" fillId="6" borderId="157" xfId="15" applyNumberFormat="1" applyFont="1" applyFill="1" applyBorder="1" applyAlignment="1">
      <alignment horizontal="left" vertical="center" wrapText="1"/>
    </xf>
    <xf numFmtId="0" fontId="51" fillId="8" borderId="146" xfId="1" applyFont="1" applyFill="1" applyBorder="1" applyAlignment="1">
      <alignment horizontal="center" vertical="center" wrapText="1"/>
    </xf>
    <xf numFmtId="10" fontId="48" fillId="8" borderId="166" xfId="15" applyNumberFormat="1" applyFont="1" applyFill="1" applyBorder="1" applyAlignment="1">
      <alignment horizontal="right" vertical="center"/>
    </xf>
    <xf numFmtId="0" fontId="56" fillId="6" borderId="7" xfId="1" applyFont="1" applyFill="1" applyBorder="1" applyAlignment="1">
      <alignment vertical="center" wrapText="1"/>
    </xf>
    <xf numFmtId="0" fontId="31" fillId="0" borderId="55" xfId="1" applyFont="1" applyFill="1" applyBorder="1" applyAlignment="1">
      <alignment vertical="center" wrapText="1"/>
    </xf>
    <xf numFmtId="0" fontId="31" fillId="6" borderId="158" xfId="1" applyFont="1" applyFill="1" applyBorder="1" applyAlignment="1">
      <alignment horizontal="center" vertical="center" wrapText="1"/>
    </xf>
    <xf numFmtId="10" fontId="48" fillId="6" borderId="17" xfId="15" applyNumberFormat="1" applyFont="1" applyFill="1" applyBorder="1" applyAlignment="1">
      <alignment horizontal="left" vertical="center" wrapText="1"/>
    </xf>
    <xf numFmtId="0" fontId="56" fillId="8" borderId="146" xfId="1" applyFont="1" applyFill="1" applyBorder="1" applyAlignment="1">
      <alignment horizontal="left" vertical="center" wrapText="1"/>
    </xf>
    <xf numFmtId="0" fontId="51" fillId="6" borderId="156" xfId="1" applyFont="1" applyFill="1" applyBorder="1" applyAlignment="1">
      <alignment vertical="center" wrapText="1"/>
    </xf>
    <xf numFmtId="49" fontId="51" fillId="6" borderId="146" xfId="1" applyNumberFormat="1" applyFont="1" applyFill="1" applyBorder="1" applyAlignment="1">
      <alignment horizontal="center" vertical="center" wrapText="1"/>
    </xf>
    <xf numFmtId="10" fontId="73" fillId="8" borderId="17" xfId="15" applyNumberFormat="1" applyFont="1" applyFill="1" applyBorder="1" applyAlignment="1">
      <alignment horizontal="right" vertical="center"/>
    </xf>
    <xf numFmtId="0" fontId="51" fillId="0" borderId="146" xfId="1" applyFont="1" applyFill="1" applyBorder="1" applyAlignment="1">
      <alignment vertical="center" wrapText="1"/>
    </xf>
    <xf numFmtId="0" fontId="76" fillId="7" borderId="56" xfId="1" applyFont="1" applyFill="1" applyBorder="1" applyAlignment="1">
      <alignment vertical="center" wrapText="1"/>
    </xf>
    <xf numFmtId="10" fontId="71" fillId="7" borderId="14" xfId="15" applyNumberFormat="1" applyFont="1" applyFill="1" applyBorder="1" applyAlignment="1">
      <alignment horizontal="right" vertical="center"/>
    </xf>
    <xf numFmtId="0" fontId="69" fillId="8" borderId="6" xfId="1" applyFont="1" applyFill="1" applyBorder="1" applyAlignment="1">
      <alignment horizontal="left" vertical="center" wrapText="1"/>
    </xf>
    <xf numFmtId="0" fontId="31" fillId="6" borderId="166" xfId="1" applyFont="1" applyFill="1" applyBorder="1" applyAlignment="1">
      <alignment vertical="center" wrapText="1"/>
    </xf>
    <xf numFmtId="0" fontId="66" fillId="6" borderId="166" xfId="1" applyFont="1" applyFill="1" applyBorder="1" applyAlignment="1">
      <alignment vertical="center" wrapText="1"/>
    </xf>
    <xf numFmtId="0" fontId="31" fillId="6" borderId="146" xfId="1" applyFont="1" applyFill="1" applyBorder="1" applyAlignment="1">
      <alignment horizontal="center" vertical="center" wrapText="1"/>
    </xf>
    <xf numFmtId="0" fontId="69" fillId="8" borderId="166" xfId="1" applyFont="1" applyFill="1" applyBorder="1" applyAlignment="1">
      <alignment horizontal="center" vertical="center" wrapText="1"/>
    </xf>
    <xf numFmtId="0" fontId="31" fillId="6" borderId="158" xfId="1" applyFont="1" applyFill="1" applyBorder="1" applyAlignment="1">
      <alignment horizontal="left" vertical="center" wrapText="1"/>
    </xf>
    <xf numFmtId="0" fontId="31" fillId="6" borderId="166" xfId="1" applyFont="1" applyFill="1" applyBorder="1" applyAlignment="1">
      <alignment horizontal="left" vertical="center" wrapText="1"/>
    </xf>
    <xf numFmtId="10" fontId="41" fillId="0" borderId="166" xfId="15" applyNumberFormat="1" applyFont="1" applyFill="1" applyBorder="1" applyAlignment="1">
      <alignment horizontal="left" vertical="center"/>
    </xf>
    <xf numFmtId="0" fontId="66" fillId="6" borderId="150" xfId="1" applyFont="1" applyFill="1" applyBorder="1" applyAlignment="1">
      <alignment horizontal="left" vertical="center" wrapText="1"/>
    </xf>
    <xf numFmtId="0" fontId="31" fillId="6" borderId="7" xfId="1" applyFont="1" applyFill="1" applyBorder="1" applyAlignment="1">
      <alignment horizontal="left" vertical="center" wrapText="1"/>
    </xf>
    <xf numFmtId="10" fontId="41" fillId="0" borderId="7" xfId="15" applyNumberFormat="1" applyFont="1" applyFill="1" applyBorder="1" applyAlignment="1">
      <alignment horizontal="right" vertical="center"/>
    </xf>
    <xf numFmtId="0" fontId="31" fillId="6" borderId="146" xfId="1" applyFont="1" applyFill="1" applyBorder="1" applyAlignment="1">
      <alignment horizontal="left" vertical="center" wrapText="1"/>
    </xf>
    <xf numFmtId="0" fontId="31" fillId="6" borderId="150" xfId="1" applyFont="1" applyFill="1" applyBorder="1" applyAlignment="1">
      <alignment vertical="center" wrapText="1"/>
    </xf>
    <xf numFmtId="0" fontId="56" fillId="8" borderId="146" xfId="1" applyFont="1" applyFill="1" applyBorder="1" applyAlignment="1">
      <alignment horizontal="center" vertical="center" wrapText="1"/>
    </xf>
    <xf numFmtId="0" fontId="69" fillId="6" borderId="150" xfId="1" applyFont="1" applyFill="1" applyBorder="1" applyAlignment="1">
      <alignment horizontal="left" vertical="center" wrapText="1"/>
    </xf>
    <xf numFmtId="0" fontId="69" fillId="6" borderId="17" xfId="1" applyFont="1" applyFill="1" applyBorder="1" applyAlignment="1">
      <alignment horizontal="left" vertical="center" wrapText="1"/>
    </xf>
    <xf numFmtId="0" fontId="31" fillId="0" borderId="166" xfId="15" applyFont="1" applyBorder="1" applyAlignment="1">
      <alignment vertical="center" wrapText="1"/>
    </xf>
    <xf numFmtId="0" fontId="78" fillId="6" borderId="17" xfId="1" applyFont="1" applyFill="1" applyBorder="1" applyAlignment="1">
      <alignment horizontal="center" vertical="center" wrapText="1"/>
    </xf>
    <xf numFmtId="0" fontId="69" fillId="6" borderId="5" xfId="1" applyFont="1" applyFill="1" applyBorder="1" applyAlignment="1">
      <alignment horizontal="left" vertical="center" wrapText="1"/>
    </xf>
    <xf numFmtId="0" fontId="31" fillId="0" borderId="7" xfId="15" applyFont="1" applyBorder="1" applyAlignment="1">
      <alignment vertical="center" wrapText="1"/>
    </xf>
    <xf numFmtId="0" fontId="31" fillId="6" borderId="7" xfId="1" applyFont="1" applyFill="1" applyBorder="1" applyAlignment="1">
      <alignment horizontal="center" vertical="center" wrapText="1"/>
    </xf>
    <xf numFmtId="0" fontId="77" fillId="9" borderId="0" xfId="15" applyFont="1" applyFill="1"/>
    <xf numFmtId="0" fontId="77" fillId="7" borderId="0" xfId="15" applyFont="1" applyFill="1"/>
    <xf numFmtId="0" fontId="56" fillId="6" borderId="150" xfId="1" applyFont="1" applyFill="1" applyBorder="1" applyAlignment="1">
      <alignment horizontal="center" vertical="center" wrapText="1"/>
    </xf>
    <xf numFmtId="0" fontId="31" fillId="0" borderId="148" xfId="1" applyFont="1" applyFill="1" applyBorder="1" applyAlignment="1">
      <alignment vertical="center" wrapText="1"/>
    </xf>
    <xf numFmtId="0" fontId="56" fillId="8" borderId="175" xfId="1" applyFont="1" applyFill="1" applyBorder="1" applyAlignment="1">
      <alignment horizontal="left" vertical="center" wrapText="1"/>
    </xf>
    <xf numFmtId="0" fontId="79" fillId="7" borderId="12" xfId="1" applyFont="1" applyFill="1" applyBorder="1" applyAlignment="1">
      <alignment horizontal="center" vertical="center" wrapText="1"/>
    </xf>
    <xf numFmtId="0" fontId="79" fillId="7" borderId="4" xfId="1" applyFont="1" applyFill="1" applyBorder="1" applyAlignment="1">
      <alignment horizontal="left" vertical="center" wrapText="1"/>
    </xf>
    <xf numFmtId="0" fontId="79" fillId="7" borderId="9" xfId="1" applyFont="1" applyFill="1" applyBorder="1" applyAlignment="1">
      <alignment horizontal="left" vertical="center" wrapText="1"/>
    </xf>
    <xf numFmtId="0" fontId="69" fillId="8" borderId="144" xfId="1" applyFont="1" applyFill="1" applyBorder="1" applyAlignment="1">
      <alignment horizontal="left" vertical="center" wrapText="1"/>
    </xf>
    <xf numFmtId="0" fontId="69" fillId="6" borderId="166" xfId="1" applyFont="1" applyFill="1" applyBorder="1" applyAlignment="1">
      <alignment horizontal="left" vertical="center" wrapText="1"/>
    </xf>
    <xf numFmtId="0" fontId="66" fillId="6" borderId="0" xfId="1" applyFont="1" applyFill="1" applyBorder="1" applyAlignment="1">
      <alignment horizontal="left" vertical="center" wrapText="1"/>
    </xf>
    <xf numFmtId="0" fontId="66" fillId="6" borderId="6" xfId="1" applyFont="1" applyFill="1" applyBorder="1" applyAlignment="1">
      <alignment horizontal="center" vertical="center" wrapText="1"/>
    </xf>
    <xf numFmtId="0" fontId="69" fillId="8" borderId="146" xfId="1" applyFont="1" applyFill="1" applyBorder="1" applyAlignment="1">
      <alignment horizontal="left" vertical="center" wrapText="1"/>
    </xf>
    <xf numFmtId="0" fontId="46" fillId="7" borderId="20" xfId="1" applyFont="1" applyFill="1" applyBorder="1" applyAlignment="1">
      <alignment horizontal="center" vertical="center" wrapText="1"/>
    </xf>
    <xf numFmtId="0" fontId="46" fillId="7" borderId="14" xfId="1" applyFont="1" applyFill="1" applyBorder="1" applyAlignment="1">
      <alignment horizontal="left" vertical="center" wrapText="1"/>
    </xf>
    <xf numFmtId="0" fontId="46" fillId="7" borderId="56" xfId="1" applyFont="1" applyFill="1" applyBorder="1" applyAlignment="1">
      <alignment horizontal="left" vertical="center" wrapText="1"/>
    </xf>
    <xf numFmtId="49" fontId="56" fillId="8" borderId="146" xfId="1" applyNumberFormat="1" applyFont="1" applyFill="1" applyBorder="1" applyAlignment="1">
      <alignment horizontal="center" vertical="center" wrapText="1"/>
    </xf>
    <xf numFmtId="49" fontId="56" fillId="8" borderId="144" xfId="1" applyNumberFormat="1" applyFont="1" applyFill="1" applyBorder="1" applyAlignment="1">
      <alignment horizontal="center" vertical="center" wrapText="1"/>
    </xf>
    <xf numFmtId="0" fontId="31" fillId="6" borderId="148" xfId="1" applyFont="1" applyFill="1" applyBorder="1" applyAlignment="1">
      <alignment vertical="center" wrapText="1"/>
    </xf>
    <xf numFmtId="0" fontId="31" fillId="6" borderId="148" xfId="1" applyFont="1" applyFill="1" applyBorder="1" applyAlignment="1">
      <alignment horizontal="left" vertical="center" wrapText="1"/>
    </xf>
    <xf numFmtId="49" fontId="56" fillId="8" borderId="175" xfId="1" applyNumberFormat="1" applyFont="1" applyFill="1" applyBorder="1" applyAlignment="1">
      <alignment horizontal="center" vertical="center" wrapText="1"/>
    </xf>
    <xf numFmtId="0" fontId="80" fillId="0" borderId="17" xfId="1" applyFont="1" applyFill="1" applyBorder="1" applyAlignment="1">
      <alignment horizontal="center" vertical="center" wrapText="1"/>
    </xf>
    <xf numFmtId="0" fontId="69" fillId="6" borderId="17" xfId="1" applyFont="1" applyFill="1" applyBorder="1" applyAlignment="1">
      <alignment horizontal="center" vertical="center" wrapText="1"/>
    </xf>
    <xf numFmtId="0" fontId="51" fillId="0" borderId="166" xfId="15" applyFont="1" applyBorder="1" applyAlignment="1">
      <alignment vertical="center" wrapText="1"/>
    </xf>
    <xf numFmtId="0" fontId="51" fillId="0" borderId="166" xfId="15" quotePrefix="1" applyFont="1" applyBorder="1" applyAlignment="1">
      <alignment vertical="center" wrapText="1"/>
    </xf>
    <xf numFmtId="49" fontId="51" fillId="6" borderId="158" xfId="15" applyNumberFormat="1" applyFont="1" applyFill="1" applyBorder="1" applyAlignment="1">
      <alignment horizontal="center" vertical="center" wrapText="1"/>
    </xf>
    <xf numFmtId="49" fontId="56" fillId="8" borderId="158" xfId="1" applyNumberFormat="1" applyFont="1" applyFill="1" applyBorder="1" applyAlignment="1">
      <alignment horizontal="center" vertical="center" wrapText="1"/>
    </xf>
    <xf numFmtId="0" fontId="31" fillId="6" borderId="180" xfId="1" quotePrefix="1" applyFont="1" applyFill="1" applyBorder="1" applyAlignment="1">
      <alignment horizontal="left" vertical="center" wrapText="1"/>
    </xf>
    <xf numFmtId="49" fontId="31" fillId="6" borderId="175" xfId="1" applyNumberFormat="1" applyFont="1" applyFill="1" applyBorder="1" applyAlignment="1">
      <alignment horizontal="center" vertical="center" wrapText="1"/>
    </xf>
    <xf numFmtId="10" fontId="47" fillId="6" borderId="7" xfId="15" applyNumberFormat="1" applyFont="1" applyFill="1" applyBorder="1" applyAlignment="1">
      <alignment horizontal="right" vertical="center"/>
    </xf>
    <xf numFmtId="0" fontId="53" fillId="0" borderId="17" xfId="1" applyFont="1" applyFill="1" applyBorder="1" applyAlignment="1">
      <alignment horizontal="center" vertical="center" wrapText="1"/>
    </xf>
    <xf numFmtId="0" fontId="69" fillId="6" borderId="150" xfId="1" applyFont="1" applyFill="1" applyBorder="1" applyAlignment="1">
      <alignment horizontal="center" vertical="center" wrapText="1"/>
    </xf>
    <xf numFmtId="49" fontId="78" fillId="6" borderId="146" xfId="15" applyNumberFormat="1" applyFont="1" applyFill="1" applyBorder="1" applyAlignment="1">
      <alignment horizontal="center" vertical="center" wrapText="1"/>
    </xf>
    <xf numFmtId="0" fontId="69" fillId="8" borderId="158" xfId="1" applyFont="1" applyFill="1" applyBorder="1" applyAlignment="1">
      <alignment horizontal="left" vertical="center" wrapText="1"/>
    </xf>
    <xf numFmtId="3" fontId="73" fillId="8" borderId="17" xfId="15" applyNumberFormat="1" applyFont="1" applyFill="1" applyBorder="1" applyAlignment="1">
      <alignment horizontal="right" vertical="center"/>
    </xf>
    <xf numFmtId="10" fontId="71" fillId="4" borderId="4" xfId="15" applyNumberFormat="1" applyFont="1" applyFill="1" applyBorder="1" applyAlignment="1">
      <alignment horizontal="right" vertical="center"/>
    </xf>
    <xf numFmtId="0" fontId="80" fillId="6" borderId="17" xfId="1" applyFont="1" applyFill="1" applyBorder="1" applyAlignment="1">
      <alignment horizontal="center" vertical="center" wrapText="1"/>
    </xf>
    <xf numFmtId="0" fontId="56" fillId="8" borderId="141" xfId="1" applyFont="1" applyFill="1" applyBorder="1" applyAlignment="1">
      <alignment horizontal="left" vertical="center" wrapText="1"/>
    </xf>
    <xf numFmtId="0" fontId="66" fillId="0" borderId="166" xfId="15" applyFont="1" applyFill="1" applyBorder="1" applyAlignment="1">
      <alignment horizontal="left" vertical="center" wrapText="1"/>
    </xf>
    <xf numFmtId="0" fontId="66" fillId="6" borderId="146" xfId="1" applyFont="1" applyFill="1" applyBorder="1" applyAlignment="1">
      <alignment horizontal="center" vertical="center" wrapText="1"/>
    </xf>
    <xf numFmtId="3" fontId="73" fillId="6" borderId="166" xfId="15" applyNumberFormat="1" applyFont="1" applyFill="1" applyBorder="1" applyAlignment="1">
      <alignment horizontal="right" vertical="center"/>
    </xf>
    <xf numFmtId="10" fontId="48" fillId="6" borderId="14" xfId="15" applyNumberFormat="1" applyFont="1" applyFill="1" applyBorder="1" applyAlignment="1">
      <alignment horizontal="right" vertical="center"/>
    </xf>
    <xf numFmtId="10" fontId="47" fillId="6" borderId="166" xfId="15" applyNumberFormat="1" applyFont="1" applyFill="1" applyBorder="1" applyAlignment="1">
      <alignment horizontal="right" vertical="center"/>
    </xf>
    <xf numFmtId="0" fontId="31" fillId="0" borderId="7" xfId="15" quotePrefix="1" applyFont="1" applyFill="1" applyBorder="1" applyAlignment="1">
      <alignment horizontal="left" vertical="center" wrapText="1"/>
    </xf>
    <xf numFmtId="0" fontId="31" fillId="6" borderId="175" xfId="1" applyFont="1" applyFill="1" applyBorder="1" applyAlignment="1">
      <alignment horizontal="center" vertical="center" wrapText="1"/>
    </xf>
    <xf numFmtId="3" fontId="47" fillId="6" borderId="7" xfId="15" applyNumberFormat="1" applyFont="1" applyFill="1" applyBorder="1" applyAlignment="1">
      <alignment horizontal="right" vertical="center"/>
    </xf>
    <xf numFmtId="0" fontId="80" fillId="6" borderId="6" xfId="1" applyFont="1" applyFill="1" applyBorder="1" applyAlignment="1">
      <alignment horizontal="center" vertical="center" wrapText="1"/>
    </xf>
    <xf numFmtId="0" fontId="56" fillId="6" borderId="158" xfId="1" applyFont="1" applyFill="1" applyBorder="1" applyAlignment="1">
      <alignment horizontal="left" vertical="center" wrapText="1"/>
    </xf>
    <xf numFmtId="0" fontId="31" fillId="6" borderId="18" xfId="15" applyFont="1" applyFill="1" applyBorder="1" applyAlignment="1">
      <alignment horizontal="center" vertical="center" wrapText="1"/>
    </xf>
    <xf numFmtId="0" fontId="76" fillId="7" borderId="14" xfId="1" applyFont="1" applyFill="1" applyBorder="1" applyAlignment="1">
      <alignment horizontal="center" vertical="center" wrapText="1"/>
    </xf>
    <xf numFmtId="0" fontId="76" fillId="7" borderId="14" xfId="1" applyFont="1" applyFill="1" applyBorder="1" applyAlignment="1">
      <alignment vertical="center" wrapText="1"/>
    </xf>
    <xf numFmtId="3" fontId="41" fillId="0" borderId="19" xfId="15" applyNumberFormat="1" applyFont="1" applyFill="1" applyBorder="1" applyAlignment="1">
      <alignment horizontal="right" vertical="center"/>
    </xf>
    <xf numFmtId="10" fontId="41" fillId="0" borderId="19" xfId="15" applyNumberFormat="1" applyFont="1" applyFill="1" applyBorder="1" applyAlignment="1">
      <alignment horizontal="right" vertical="center"/>
    </xf>
    <xf numFmtId="0" fontId="76" fillId="6" borderId="18" xfId="1" applyFont="1" applyFill="1" applyBorder="1" applyAlignment="1">
      <alignment horizontal="center" vertical="center" wrapText="1"/>
    </xf>
    <xf numFmtId="0" fontId="51" fillId="6" borderId="126" xfId="1" applyFont="1" applyFill="1" applyBorder="1" applyAlignment="1">
      <alignment vertical="center" wrapText="1"/>
    </xf>
    <xf numFmtId="0" fontId="51" fillId="0" borderId="148" xfId="1" applyFont="1" applyFill="1" applyBorder="1" applyAlignment="1">
      <alignment vertical="center" wrapText="1"/>
    </xf>
    <xf numFmtId="0" fontId="80" fillId="6" borderId="14" xfId="1" applyFont="1" applyFill="1" applyBorder="1" applyAlignment="1">
      <alignment horizontal="center" vertical="center" wrapText="1"/>
    </xf>
    <xf numFmtId="0" fontId="80" fillId="6" borderId="17" xfId="1" applyFont="1" applyFill="1" applyBorder="1" applyAlignment="1">
      <alignment vertical="center" wrapText="1"/>
    </xf>
    <xf numFmtId="0" fontId="76" fillId="7" borderId="9" xfId="1" applyFont="1" applyFill="1" applyBorder="1" applyAlignment="1">
      <alignment vertical="center" wrapText="1"/>
    </xf>
    <xf numFmtId="0" fontId="80" fillId="6" borderId="166" xfId="1" applyFont="1" applyFill="1" applyBorder="1" applyAlignment="1">
      <alignment horizontal="center" vertical="center" wrapText="1"/>
    </xf>
    <xf numFmtId="0" fontId="31" fillId="0" borderId="143" xfId="1" applyFont="1" applyFill="1" applyBorder="1" applyAlignment="1">
      <alignment vertical="center" wrapText="1"/>
    </xf>
    <xf numFmtId="49" fontId="31" fillId="6" borderId="158" xfId="1" applyNumberFormat="1" applyFont="1" applyFill="1" applyBorder="1" applyAlignment="1">
      <alignment horizontal="center" vertical="center" wrapText="1"/>
    </xf>
    <xf numFmtId="10" fontId="73" fillId="8" borderId="14" xfId="15" applyNumberFormat="1" applyFont="1" applyFill="1" applyBorder="1" applyAlignment="1">
      <alignment horizontal="right" vertical="center"/>
    </xf>
    <xf numFmtId="0" fontId="31" fillId="0" borderId="166" xfId="1" applyFont="1" applyFill="1" applyBorder="1" applyAlignment="1">
      <alignment horizontal="left" vertical="center" wrapText="1"/>
    </xf>
    <xf numFmtId="0" fontId="31" fillId="0" borderId="181" xfId="1" applyFont="1" applyFill="1" applyBorder="1" applyAlignment="1">
      <alignment horizontal="left" vertical="center" wrapText="1"/>
    </xf>
    <xf numFmtId="0" fontId="31" fillId="6" borderId="144" xfId="1" applyFont="1" applyFill="1" applyBorder="1" applyAlignment="1">
      <alignment horizontal="center" vertical="center" wrapText="1"/>
    </xf>
    <xf numFmtId="49" fontId="31" fillId="6" borderId="146" xfId="1" applyNumberFormat="1" applyFont="1" applyFill="1" applyBorder="1" applyAlignment="1">
      <alignment horizontal="center" vertical="center" wrapText="1"/>
    </xf>
    <xf numFmtId="0" fontId="53" fillId="6" borderId="17" xfId="1" applyFont="1" applyFill="1" applyBorder="1" applyAlignment="1">
      <alignment vertical="center" wrapText="1"/>
    </xf>
    <xf numFmtId="0" fontId="51" fillId="0" borderId="150" xfId="1" applyFont="1" applyFill="1" applyBorder="1" applyAlignment="1">
      <alignment vertical="center" wrapText="1"/>
    </xf>
    <xf numFmtId="10" fontId="48" fillId="8" borderId="150" xfId="15" applyNumberFormat="1" applyFont="1" applyFill="1" applyBorder="1" applyAlignment="1">
      <alignment horizontal="right" vertical="center"/>
    </xf>
    <xf numFmtId="0" fontId="53" fillId="6" borderId="6" xfId="1" applyFont="1" applyFill="1" applyBorder="1" applyAlignment="1">
      <alignment vertical="center" wrapText="1"/>
    </xf>
    <xf numFmtId="0" fontId="56" fillId="0" borderId="7" xfId="1" applyFont="1" applyFill="1" applyBorder="1" applyAlignment="1">
      <alignment horizontal="left" vertical="center" wrapText="1"/>
    </xf>
    <xf numFmtId="0" fontId="31" fillId="0" borderId="7" xfId="1" applyFont="1" applyFill="1" applyBorder="1" applyAlignment="1">
      <alignment horizontal="left" vertical="center" wrapText="1"/>
    </xf>
    <xf numFmtId="0" fontId="31" fillId="0" borderId="180" xfId="1" applyFont="1" applyFill="1" applyBorder="1" applyAlignment="1">
      <alignment horizontal="center" vertical="center" wrapText="1"/>
    </xf>
    <xf numFmtId="10" fontId="47" fillId="0" borderId="7" xfId="15" applyNumberFormat="1" applyFont="1" applyFill="1" applyBorder="1" applyAlignment="1">
      <alignment horizontal="right" vertical="center"/>
    </xf>
    <xf numFmtId="0" fontId="49" fillId="7" borderId="4" xfId="1" applyFont="1" applyFill="1" applyBorder="1" applyAlignment="1">
      <alignment horizontal="center" vertical="center" wrapText="1"/>
    </xf>
    <xf numFmtId="0" fontId="49" fillId="7" borderId="4" xfId="1" applyFont="1" applyFill="1" applyBorder="1" applyAlignment="1">
      <alignment vertical="center" wrapText="1"/>
    </xf>
    <xf numFmtId="0" fontId="49" fillId="7" borderId="9" xfId="1" applyFont="1" applyFill="1" applyBorder="1" applyAlignment="1">
      <alignment vertical="center" wrapText="1"/>
    </xf>
    <xf numFmtId="0" fontId="8" fillId="8" borderId="141" xfId="1" applyFont="1" applyFill="1" applyBorder="1" applyAlignment="1">
      <alignment horizontal="left" vertical="center" wrapText="1"/>
    </xf>
    <xf numFmtId="0" fontId="44" fillId="0" borderId="17" xfId="1" applyFont="1" applyFill="1" applyBorder="1" applyAlignment="1">
      <alignment vertical="center" wrapText="1"/>
    </xf>
    <xf numFmtId="49" fontId="44" fillId="6" borderId="144" xfId="1" applyNumberFormat="1" applyFont="1" applyFill="1" applyBorder="1" applyAlignment="1">
      <alignment horizontal="center" vertical="center" wrapText="1"/>
    </xf>
    <xf numFmtId="0" fontId="7" fillId="0" borderId="156" xfId="1" applyFont="1" applyFill="1" applyBorder="1" applyAlignment="1">
      <alignment horizontal="left" vertical="center" wrapText="1"/>
    </xf>
    <xf numFmtId="49" fontId="7" fillId="6" borderId="166" xfId="1" applyNumberFormat="1" applyFont="1" applyFill="1" applyBorder="1" applyAlignment="1">
      <alignment horizontal="center" vertical="center" wrapText="1"/>
    </xf>
    <xf numFmtId="49" fontId="7" fillId="6" borderId="158" xfId="1" applyNumberFormat="1" applyFont="1" applyFill="1" applyBorder="1" applyAlignment="1">
      <alignment horizontal="center" vertical="center" wrapText="1"/>
    </xf>
    <xf numFmtId="0" fontId="44" fillId="0" borderId="156" xfId="1" applyFont="1" applyFill="1" applyBorder="1" applyAlignment="1">
      <alignment vertical="center" wrapText="1"/>
    </xf>
    <xf numFmtId="49" fontId="44" fillId="6" borderId="146" xfId="1" applyNumberFormat="1" applyFont="1" applyFill="1" applyBorder="1" applyAlignment="1">
      <alignment horizontal="center" vertical="center" wrapText="1"/>
    </xf>
    <xf numFmtId="10" fontId="5" fillId="0" borderId="150" xfId="15" applyNumberFormat="1" applyFont="1" applyFill="1" applyBorder="1" applyAlignment="1">
      <alignment horizontal="left" vertical="center"/>
    </xf>
    <xf numFmtId="49" fontId="7" fillId="6" borderId="146" xfId="1" applyNumberFormat="1" applyFont="1" applyFill="1" applyBorder="1" applyAlignment="1">
      <alignment horizontal="center" vertical="center" wrapText="1"/>
    </xf>
    <xf numFmtId="0" fontId="8" fillId="8" borderId="158" xfId="1" applyFont="1" applyFill="1" applyBorder="1" applyAlignment="1">
      <alignment horizontal="left" vertical="center" wrapText="1"/>
    </xf>
    <xf numFmtId="0" fontId="69" fillId="6" borderId="7" xfId="1" applyFont="1" applyFill="1" applyBorder="1" applyAlignment="1">
      <alignment horizontal="left" vertical="center" wrapText="1"/>
    </xf>
    <xf numFmtId="0" fontId="66" fillId="0" borderId="180" xfId="1" applyFont="1" applyFill="1" applyBorder="1" applyAlignment="1">
      <alignment horizontal="left" vertical="center" wrapText="1"/>
    </xf>
    <xf numFmtId="0" fontId="66" fillId="6" borderId="175" xfId="1" applyFont="1" applyFill="1" applyBorder="1" applyAlignment="1">
      <alignment horizontal="center" vertical="center" wrapText="1"/>
    </xf>
    <xf numFmtId="3" fontId="73" fillId="6" borderId="7" xfId="15" applyNumberFormat="1" applyFont="1" applyFill="1" applyBorder="1" applyAlignment="1">
      <alignment horizontal="right" vertical="center"/>
    </xf>
    <xf numFmtId="3" fontId="41" fillId="6" borderId="7" xfId="15" applyNumberFormat="1" applyFont="1" applyFill="1" applyBorder="1" applyAlignment="1">
      <alignment horizontal="right" vertical="center"/>
    </xf>
    <xf numFmtId="3" fontId="41" fillId="0" borderId="7" xfId="15" applyNumberFormat="1" applyFont="1" applyFill="1" applyBorder="1" applyAlignment="1">
      <alignment horizontal="right" vertical="center"/>
    </xf>
    <xf numFmtId="10" fontId="41" fillId="6" borderId="7" xfId="15" applyNumberFormat="1" applyFont="1" applyFill="1" applyBorder="1" applyAlignment="1">
      <alignment horizontal="right" vertical="center"/>
    </xf>
    <xf numFmtId="0" fontId="31" fillId="0" borderId="146" xfId="0" applyFont="1" applyFill="1" applyBorder="1" applyAlignment="1">
      <alignment vertical="center" wrapText="1"/>
    </xf>
    <xf numFmtId="0" fontId="31" fillId="0" borderId="156" xfId="0" applyFont="1" applyFill="1" applyBorder="1" applyAlignment="1">
      <alignment horizontal="left" vertical="center" wrapText="1"/>
    </xf>
    <xf numFmtId="0" fontId="7" fillId="0" borderId="151" xfId="1" quotePrefix="1" applyFont="1" applyFill="1" applyBorder="1" applyAlignment="1">
      <alignment vertical="center" wrapText="1"/>
    </xf>
    <xf numFmtId="0" fontId="7" fillId="6" borderId="158" xfId="1" applyFont="1" applyFill="1" applyBorder="1" applyAlignment="1">
      <alignment horizontal="center" vertical="center" wrapText="1"/>
    </xf>
    <xf numFmtId="10" fontId="5" fillId="6" borderId="150" xfId="15" applyNumberFormat="1" applyFont="1" applyFill="1" applyBorder="1" applyAlignment="1">
      <alignment horizontal="right" vertical="center"/>
    </xf>
    <xf numFmtId="0" fontId="7" fillId="0" borderId="166" xfId="1" quotePrefix="1" applyFont="1" applyFill="1" applyBorder="1" applyAlignment="1">
      <alignment vertical="center" wrapText="1"/>
    </xf>
    <xf numFmtId="0" fontId="7" fillId="0" borderId="156" xfId="0" quotePrefix="1" applyFont="1" applyFill="1" applyBorder="1" applyAlignment="1">
      <alignment horizontal="left" vertical="center" wrapText="1"/>
    </xf>
    <xf numFmtId="0" fontId="50" fillId="6" borderId="166" xfId="1" applyFont="1" applyFill="1" applyBorder="1" applyAlignment="1">
      <alignment horizontal="center" vertical="center" wrapText="1"/>
    </xf>
    <xf numFmtId="0" fontId="53" fillId="7" borderId="56" xfId="1" applyFont="1" applyFill="1" applyBorder="1" applyAlignment="1">
      <alignment horizontal="center" vertical="center" wrapText="1"/>
    </xf>
    <xf numFmtId="0" fontId="53" fillId="7" borderId="14" xfId="1" applyFont="1" applyFill="1" applyBorder="1" applyAlignment="1">
      <alignment vertical="center" wrapText="1"/>
    </xf>
    <xf numFmtId="0" fontId="53" fillId="7" borderId="56" xfId="1" applyFont="1" applyFill="1" applyBorder="1" applyAlignment="1">
      <alignment vertical="center" wrapText="1"/>
    </xf>
    <xf numFmtId="49" fontId="51" fillId="6" borderId="158" xfId="1" applyNumberFormat="1" applyFont="1" applyFill="1" applyBorder="1" applyAlignment="1">
      <alignment horizontal="center" vertical="center" wrapText="1"/>
    </xf>
    <xf numFmtId="0" fontId="51" fillId="6" borderId="14" xfId="1" applyFont="1" applyFill="1" applyBorder="1" applyAlignment="1">
      <alignment horizontal="center" vertical="center" wrapText="1"/>
    </xf>
    <xf numFmtId="0" fontId="32" fillId="6" borderId="0" xfId="15" applyFont="1" applyFill="1"/>
    <xf numFmtId="0" fontId="52" fillId="4" borderId="4" xfId="1" applyFont="1" applyFill="1" applyBorder="1" applyAlignment="1">
      <alignment vertical="center" wrapText="1"/>
    </xf>
    <xf numFmtId="0" fontId="52" fillId="4" borderId="9" xfId="1" applyFont="1" applyFill="1" applyBorder="1" applyAlignment="1">
      <alignment vertical="center" wrapText="1"/>
    </xf>
    <xf numFmtId="0" fontId="75" fillId="9" borderId="0" xfId="15" applyFont="1" applyFill="1"/>
    <xf numFmtId="0" fontId="8" fillId="8" borderId="144" xfId="1" applyFont="1" applyFill="1" applyBorder="1" applyAlignment="1">
      <alignment horizontal="left" vertical="center" wrapText="1"/>
    </xf>
    <xf numFmtId="0" fontId="49" fillId="6" borderId="126" xfId="1" applyFont="1" applyFill="1" applyBorder="1" applyAlignment="1">
      <alignment horizontal="center" vertical="center" wrapText="1"/>
    </xf>
    <xf numFmtId="0" fontId="44" fillId="6" borderId="156" xfId="1" applyFont="1" applyFill="1" applyBorder="1" applyAlignment="1">
      <alignment vertical="center" wrapText="1"/>
    </xf>
    <xf numFmtId="49" fontId="44" fillId="6" borderId="150" xfId="1" applyNumberFormat="1" applyFont="1" applyFill="1" applyBorder="1" applyAlignment="1">
      <alignment horizontal="center" vertical="center" wrapText="1"/>
    </xf>
    <xf numFmtId="0" fontId="44" fillId="0" borderId="55" xfId="1" applyFont="1" applyFill="1" applyBorder="1" applyAlignment="1">
      <alignment vertical="center" wrapText="1"/>
    </xf>
    <xf numFmtId="49" fontId="44" fillId="6" borderId="158" xfId="1" applyNumberFormat="1" applyFont="1" applyFill="1" applyBorder="1" applyAlignment="1">
      <alignment horizontal="center" vertical="center" wrapText="1"/>
    </xf>
    <xf numFmtId="0" fontId="8" fillId="8" borderId="175" xfId="1" applyFont="1" applyFill="1" applyBorder="1" applyAlignment="1">
      <alignment horizontal="left" vertical="center" wrapText="1"/>
    </xf>
    <xf numFmtId="0" fontId="49" fillId="7" borderId="14" xfId="1" applyFont="1" applyFill="1" applyBorder="1" applyAlignment="1">
      <alignment vertical="center" wrapText="1"/>
    </xf>
    <xf numFmtId="0" fontId="49" fillId="7" borderId="56" xfId="1" applyFont="1" applyFill="1" applyBorder="1" applyAlignment="1">
      <alignment vertical="center" wrapText="1"/>
    </xf>
    <xf numFmtId="0" fontId="8" fillId="8" borderId="146" xfId="1" applyFont="1" applyFill="1" applyBorder="1" applyAlignment="1">
      <alignment horizontal="left" vertical="center" wrapText="1"/>
    </xf>
    <xf numFmtId="0" fontId="49" fillId="7" borderId="14" xfId="1" applyFont="1" applyFill="1" applyBorder="1" applyAlignment="1">
      <alignment horizontal="center" vertical="center" wrapText="1"/>
    </xf>
    <xf numFmtId="0" fontId="49" fillId="6" borderId="150" xfId="1" applyFont="1" applyFill="1" applyBorder="1" applyAlignment="1">
      <alignment horizontal="center" vertical="center" wrapText="1"/>
    </xf>
    <xf numFmtId="0" fontId="44" fillId="0" borderId="150" xfId="1" applyFont="1" applyFill="1" applyBorder="1" applyAlignment="1">
      <alignment horizontal="left" vertical="center" wrapText="1"/>
    </xf>
    <xf numFmtId="0" fontId="34" fillId="4" borderId="4" xfId="1" applyFont="1" applyFill="1" applyBorder="1" applyAlignment="1">
      <alignment horizontal="center" vertical="center" wrapText="1"/>
    </xf>
    <xf numFmtId="0" fontId="68" fillId="0" borderId="17" xfId="1" applyFont="1" applyFill="1" applyBorder="1" applyAlignment="1">
      <alignment horizontal="center" vertical="center" wrapText="1"/>
    </xf>
    <xf numFmtId="0" fontId="8" fillId="6" borderId="17" xfId="1" applyFont="1" applyFill="1" applyBorder="1" applyAlignment="1">
      <alignment horizontal="center" vertical="center" wrapText="1"/>
    </xf>
    <xf numFmtId="0" fontId="8" fillId="8" borderId="19" xfId="1" applyFont="1" applyFill="1" applyBorder="1" applyAlignment="1">
      <alignment horizontal="left" vertical="center" wrapText="1"/>
    </xf>
    <xf numFmtId="0" fontId="8" fillId="6" borderId="150" xfId="1" applyFont="1" applyFill="1" applyBorder="1" applyAlignment="1">
      <alignment horizontal="center" vertical="center" wrapText="1"/>
    </xf>
    <xf numFmtId="0" fontId="44" fillId="6" borderId="150" xfId="1" applyFont="1" applyFill="1" applyBorder="1" applyAlignment="1">
      <alignment vertical="center" wrapText="1"/>
    </xf>
    <xf numFmtId="0" fontId="8" fillId="8" borderId="7" xfId="1" applyFont="1" applyFill="1" applyBorder="1" applyAlignment="1">
      <alignment horizontal="left" vertical="center" wrapText="1"/>
    </xf>
    <xf numFmtId="0" fontId="8" fillId="8" borderId="150" xfId="1" applyFont="1" applyFill="1" applyBorder="1" applyAlignment="1">
      <alignment horizontal="left" vertical="center" wrapText="1"/>
    </xf>
    <xf numFmtId="0" fontId="8" fillId="6" borderId="7" xfId="1" applyFont="1" applyFill="1" applyBorder="1" applyAlignment="1">
      <alignment horizontal="center" vertical="center" wrapText="1"/>
    </xf>
    <xf numFmtId="0" fontId="51" fillId="6" borderId="7" xfId="1" applyFont="1" applyFill="1" applyBorder="1" applyAlignment="1">
      <alignment vertical="center" wrapText="1"/>
    </xf>
    <xf numFmtId="49" fontId="44" fillId="6" borderId="7" xfId="1" applyNumberFormat="1" applyFont="1" applyFill="1" applyBorder="1" applyAlignment="1">
      <alignment horizontal="center" vertical="center" wrapText="1"/>
    </xf>
    <xf numFmtId="10" fontId="5" fillId="0" borderId="7" xfId="15" applyNumberFormat="1" applyFont="1" applyFill="1" applyBorder="1" applyAlignment="1">
      <alignment horizontal="right" vertical="center"/>
    </xf>
    <xf numFmtId="10" fontId="72" fillId="7" borderId="19" xfId="15" applyNumberFormat="1" applyFont="1" applyFill="1" applyBorder="1" applyAlignment="1">
      <alignment horizontal="right" vertical="center"/>
    </xf>
    <xf numFmtId="0" fontId="8" fillId="8" borderId="11" xfId="1" applyFont="1" applyFill="1" applyBorder="1" applyAlignment="1">
      <alignment horizontal="left" vertical="center" wrapText="1"/>
    </xf>
    <xf numFmtId="0" fontId="44" fillId="0" borderId="150" xfId="1" applyFont="1" applyFill="1" applyBorder="1" applyAlignment="1">
      <alignment vertical="center" wrapText="1"/>
    </xf>
    <xf numFmtId="0" fontId="44" fillId="6" borderId="150" xfId="1" applyFont="1" applyFill="1" applyBorder="1" applyAlignment="1">
      <alignment horizontal="center" vertical="center" wrapText="1"/>
    </xf>
    <xf numFmtId="0" fontId="44" fillId="0" borderId="166" xfId="1" applyFont="1" applyFill="1" applyBorder="1" applyAlignment="1">
      <alignment vertical="center" wrapText="1"/>
    </xf>
    <xf numFmtId="0" fontId="44" fillId="6" borderId="166" xfId="1" applyFont="1" applyFill="1" applyBorder="1" applyAlignment="1">
      <alignment horizontal="center" vertical="center" wrapText="1"/>
    </xf>
    <xf numFmtId="0" fontId="56" fillId="8" borderId="17" xfId="1" applyFont="1" applyFill="1" applyBorder="1" applyAlignment="1">
      <alignment horizontal="left" vertical="center" wrapText="1"/>
    </xf>
    <xf numFmtId="10" fontId="48" fillId="8" borderId="17" xfId="15" applyNumberFormat="1" applyFont="1" applyFill="1" applyBorder="1" applyAlignment="1">
      <alignment horizontal="right" vertical="center"/>
    </xf>
    <xf numFmtId="0" fontId="68" fillId="0" borderId="6" xfId="1" applyFont="1" applyFill="1" applyBorder="1" applyAlignment="1">
      <alignment horizontal="center" vertical="center" wrapText="1"/>
    </xf>
    <xf numFmtId="0" fontId="69" fillId="0" borderId="7" xfId="1" applyFont="1" applyFill="1" applyBorder="1" applyAlignment="1">
      <alignment horizontal="left" vertical="center" wrapText="1"/>
    </xf>
    <xf numFmtId="0" fontId="44" fillId="0" borderId="7" xfId="1" applyFont="1" applyFill="1" applyBorder="1" applyAlignment="1">
      <alignment vertical="center" wrapText="1"/>
    </xf>
    <xf numFmtId="0" fontId="7" fillId="0" borderId="7" xfId="1" applyFont="1" applyFill="1" applyBorder="1" applyAlignment="1">
      <alignment horizontal="center" vertical="center" wrapText="1"/>
    </xf>
    <xf numFmtId="10" fontId="73" fillId="0" borderId="7" xfId="15" applyNumberFormat="1" applyFont="1" applyFill="1" applyBorder="1" applyAlignment="1">
      <alignment horizontal="right" vertical="center"/>
    </xf>
    <xf numFmtId="0" fontId="69" fillId="6" borderId="7" xfId="1" applyFont="1" applyFill="1" applyBorder="1" applyAlignment="1">
      <alignment horizontal="center" vertical="center" wrapText="1"/>
    </xf>
    <xf numFmtId="0" fontId="44" fillId="6" borderId="180" xfId="1" applyFont="1" applyFill="1" applyBorder="1" applyAlignment="1">
      <alignment vertical="center" wrapText="1"/>
    </xf>
    <xf numFmtId="49" fontId="44" fillId="6" borderId="175" xfId="1" applyNumberFormat="1" applyFont="1" applyFill="1" applyBorder="1" applyAlignment="1">
      <alignment horizontal="center" vertical="center" wrapText="1"/>
    </xf>
    <xf numFmtId="0" fontId="8" fillId="0" borderId="166" xfId="1" applyFont="1" applyFill="1" applyBorder="1" applyAlignment="1">
      <alignment horizontal="left" vertical="center" wrapText="1"/>
    </xf>
    <xf numFmtId="0" fontId="7" fillId="0" borderId="146" xfId="1" applyFont="1" applyFill="1" applyBorder="1" applyAlignment="1">
      <alignment horizontal="left" vertical="center" wrapText="1"/>
    </xf>
    <xf numFmtId="0" fontId="7" fillId="0" borderId="146" xfId="1" applyFont="1" applyFill="1" applyBorder="1" applyAlignment="1">
      <alignment horizontal="center" vertical="center" wrapText="1"/>
    </xf>
    <xf numFmtId="10" fontId="45" fillId="0" borderId="166" xfId="15" applyNumberFormat="1" applyFont="1" applyFill="1" applyBorder="1" applyAlignment="1">
      <alignment horizontal="right" vertical="center"/>
    </xf>
    <xf numFmtId="10" fontId="47" fillId="0" borderId="166" xfId="15" applyNumberFormat="1" applyFont="1" applyFill="1" applyBorder="1" applyAlignment="1">
      <alignment horizontal="right" vertical="center"/>
    </xf>
    <xf numFmtId="0" fontId="77" fillId="0" borderId="0" xfId="15" applyFont="1" applyFill="1"/>
    <xf numFmtId="10" fontId="47" fillId="7" borderId="17" xfId="15" applyNumberFormat="1" applyFont="1" applyFill="1" applyBorder="1" applyAlignment="1">
      <alignment horizontal="right" vertical="center"/>
    </xf>
    <xf numFmtId="0" fontId="69" fillId="8" borderId="11" xfId="1" applyFont="1" applyFill="1" applyBorder="1" applyAlignment="1">
      <alignment horizontal="left" vertical="center" wrapText="1"/>
    </xf>
    <xf numFmtId="0" fontId="69" fillId="6" borderId="18" xfId="1" applyFont="1" applyFill="1" applyBorder="1" applyAlignment="1">
      <alignment horizontal="center" vertical="center" wrapText="1"/>
    </xf>
    <xf numFmtId="0" fontId="7" fillId="4" borderId="12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left" vertical="center" wrapText="1"/>
    </xf>
    <xf numFmtId="0" fontId="12" fillId="4" borderId="9" xfId="1" applyFont="1" applyFill="1" applyBorder="1" applyAlignment="1">
      <alignment horizontal="left" vertical="center" wrapText="1"/>
    </xf>
    <xf numFmtId="0" fontId="9" fillId="7" borderId="12" xfId="1" applyFont="1" applyFill="1" applyBorder="1" applyAlignment="1">
      <alignment horizontal="center" vertical="center" wrapText="1"/>
    </xf>
    <xf numFmtId="0" fontId="9" fillId="7" borderId="4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horizontal="left" vertical="center" wrapText="1"/>
    </xf>
    <xf numFmtId="49" fontId="7" fillId="6" borderId="55" xfId="1" applyNumberFormat="1" applyFont="1" applyFill="1" applyBorder="1" applyAlignment="1">
      <alignment horizontal="center" vertical="center" wrapText="1"/>
    </xf>
    <xf numFmtId="0" fontId="7" fillId="0" borderId="166" xfId="1" applyFont="1" applyFill="1" applyBorder="1" applyAlignment="1">
      <alignment horizontal="left" vertical="center" wrapText="1"/>
    </xf>
    <xf numFmtId="0" fontId="7" fillId="6" borderId="148" xfId="1" applyFont="1" applyFill="1" applyBorder="1" applyAlignment="1">
      <alignment horizontal="center" vertical="center" wrapText="1"/>
    </xf>
    <xf numFmtId="10" fontId="5" fillId="6" borderId="166" xfId="15" applyNumberFormat="1" applyFont="1" applyFill="1" applyBorder="1" applyAlignment="1">
      <alignment horizontal="left" vertical="center"/>
    </xf>
    <xf numFmtId="0" fontId="7" fillId="6" borderId="166" xfId="1" applyFont="1" applyFill="1" applyBorder="1" applyAlignment="1">
      <alignment horizontal="left" vertical="center" wrapText="1"/>
    </xf>
    <xf numFmtId="0" fontId="7" fillId="6" borderId="156" xfId="1" applyFont="1" applyFill="1" applyBorder="1" applyAlignment="1">
      <alignment horizontal="center" vertical="center" wrapText="1"/>
    </xf>
    <xf numFmtId="0" fontId="8" fillId="8" borderId="56" xfId="1" applyFont="1" applyFill="1" applyBorder="1" applyAlignment="1">
      <alignment horizontal="left" vertical="center" wrapText="1"/>
    </xf>
    <xf numFmtId="3" fontId="5" fillId="8" borderId="14" xfId="15" applyNumberFormat="1" applyFont="1" applyFill="1" applyBorder="1" applyAlignment="1">
      <alignment horizontal="right" vertical="center"/>
    </xf>
    <xf numFmtId="10" fontId="5" fillId="8" borderId="14" xfId="15" applyNumberFormat="1" applyFont="1" applyFill="1" applyBorder="1" applyAlignment="1">
      <alignment horizontal="right" vertical="center"/>
    </xf>
    <xf numFmtId="0" fontId="33" fillId="2" borderId="9" xfId="1" applyFont="1" applyFill="1" applyBorder="1" applyAlignment="1">
      <alignment horizontal="center" vertical="center" wrapText="1"/>
    </xf>
    <xf numFmtId="3" fontId="57" fillId="2" borderId="9" xfId="15" applyNumberFormat="1" applyFont="1" applyFill="1" applyBorder="1" applyAlignment="1">
      <alignment horizontal="right" vertical="center"/>
    </xf>
    <xf numFmtId="3" fontId="57" fillId="2" borderId="13" xfId="15" applyNumberFormat="1" applyFont="1" applyFill="1" applyBorder="1" applyAlignment="1">
      <alignment horizontal="right" vertical="center"/>
    </xf>
    <xf numFmtId="10" fontId="83" fillId="2" borderId="12" xfId="15" applyNumberFormat="1" applyFont="1" applyFill="1" applyBorder="1" applyAlignment="1">
      <alignment horizontal="right" vertical="center"/>
    </xf>
    <xf numFmtId="0" fontId="84" fillId="8" borderId="8" xfId="1" applyFont="1" applyFill="1" applyBorder="1" applyAlignment="1">
      <alignment vertical="center"/>
    </xf>
    <xf numFmtId="3" fontId="57" fillId="8" borderId="181" xfId="15" applyNumberFormat="1" applyFont="1" applyFill="1" applyBorder="1" applyAlignment="1">
      <alignment horizontal="right" vertical="center"/>
    </xf>
    <xf numFmtId="3" fontId="57" fillId="8" borderId="18" xfId="15" applyNumberFormat="1" applyFont="1" applyFill="1" applyBorder="1" applyAlignment="1">
      <alignment horizontal="right" vertical="center"/>
    </xf>
    <xf numFmtId="3" fontId="57" fillId="8" borderId="8" xfId="15" applyNumberFormat="1" applyFont="1" applyFill="1" applyBorder="1" applyAlignment="1">
      <alignment horizontal="right" vertical="center"/>
    </xf>
    <xf numFmtId="10" fontId="57" fillId="8" borderId="8" xfId="15" applyNumberFormat="1" applyFont="1" applyFill="1" applyBorder="1" applyAlignment="1">
      <alignment horizontal="right" vertical="center"/>
    </xf>
    <xf numFmtId="10" fontId="83" fillId="8" borderId="126" xfId="15" applyNumberFormat="1" applyFont="1" applyFill="1" applyBorder="1" applyAlignment="1">
      <alignment horizontal="right" vertical="center"/>
    </xf>
    <xf numFmtId="0" fontId="57" fillId="8" borderId="166" xfId="1" applyFont="1" applyFill="1" applyBorder="1" applyAlignment="1">
      <alignment vertical="center"/>
    </xf>
    <xf numFmtId="3" fontId="85" fillId="8" borderId="156" xfId="15" applyNumberFormat="1" applyFont="1" applyFill="1" applyBorder="1" applyAlignment="1">
      <alignment horizontal="right" vertical="center"/>
    </xf>
    <xf numFmtId="3" fontId="85" fillId="8" borderId="166" xfId="15" applyNumberFormat="1" applyFont="1" applyFill="1" applyBorder="1" applyAlignment="1">
      <alignment horizontal="right" vertical="center"/>
    </xf>
    <xf numFmtId="10" fontId="85" fillId="8" borderId="166" xfId="15" applyNumberFormat="1" applyFont="1" applyFill="1" applyBorder="1" applyAlignment="1">
      <alignment horizontal="right" vertical="center"/>
    </xf>
    <xf numFmtId="3" fontId="58" fillId="8" borderId="166" xfId="15" applyNumberFormat="1" applyFont="1" applyFill="1" applyBorder="1" applyAlignment="1">
      <alignment horizontal="right" vertical="center"/>
    </xf>
    <xf numFmtId="10" fontId="86" fillId="8" borderId="148" xfId="15" applyNumberFormat="1" applyFont="1" applyFill="1" applyBorder="1" applyAlignment="1">
      <alignment horizontal="right" vertical="center"/>
    </xf>
    <xf numFmtId="0" fontId="58" fillId="8" borderId="171" xfId="1" applyFont="1" applyFill="1" applyBorder="1" applyAlignment="1">
      <alignment horizontal="left" vertical="center"/>
    </xf>
    <xf numFmtId="0" fontId="58" fillId="8" borderId="169" xfId="1" applyFont="1" applyFill="1" applyBorder="1" applyAlignment="1">
      <alignment horizontal="left" vertical="center"/>
    </xf>
    <xf numFmtId="0" fontId="58" fillId="8" borderId="172" xfId="1" applyFont="1" applyFill="1" applyBorder="1" applyAlignment="1">
      <alignment horizontal="left" vertical="center"/>
    </xf>
    <xf numFmtId="0" fontId="84" fillId="8" borderId="166" xfId="1" applyFont="1" applyFill="1" applyBorder="1" applyAlignment="1">
      <alignment vertical="center"/>
    </xf>
    <xf numFmtId="10" fontId="58" fillId="8" borderId="166" xfId="15" applyNumberFormat="1" applyFont="1" applyFill="1" applyBorder="1" applyAlignment="1">
      <alignment horizontal="right" vertical="center"/>
    </xf>
    <xf numFmtId="3" fontId="77" fillId="0" borderId="0" xfId="15" applyNumberFormat="1" applyFont="1"/>
    <xf numFmtId="0" fontId="58" fillId="8" borderId="173" xfId="1" applyFont="1" applyFill="1" applyBorder="1" applyAlignment="1">
      <alignment horizontal="left" vertical="center"/>
    </xf>
    <xf numFmtId="0" fontId="58" fillId="8" borderId="162" xfId="1" applyFont="1" applyFill="1" applyBorder="1" applyAlignment="1">
      <alignment horizontal="left" vertical="center"/>
    </xf>
    <xf numFmtId="0" fontId="58" fillId="8" borderId="163" xfId="1" applyFont="1" applyFill="1" applyBorder="1" applyAlignment="1">
      <alignment horizontal="left" vertical="center"/>
    </xf>
    <xf numFmtId="0" fontId="84" fillId="8" borderId="7" xfId="1" applyFont="1" applyFill="1" applyBorder="1" applyAlignment="1">
      <alignment vertical="center"/>
    </xf>
    <xf numFmtId="3" fontId="58" fillId="8" borderId="7" xfId="15" applyNumberFormat="1" applyFont="1" applyFill="1" applyBorder="1" applyAlignment="1">
      <alignment horizontal="right" vertical="center"/>
    </xf>
    <xf numFmtId="3" fontId="58" fillId="8" borderId="180" xfId="15" applyNumberFormat="1" applyFont="1" applyFill="1" applyBorder="1" applyAlignment="1">
      <alignment horizontal="right" vertical="center"/>
    </xf>
    <xf numFmtId="10" fontId="58" fillId="8" borderId="7" xfId="15" applyNumberFormat="1" applyFont="1" applyFill="1" applyBorder="1" applyAlignment="1">
      <alignment horizontal="right" vertical="center"/>
    </xf>
    <xf numFmtId="10" fontId="86" fillId="8" borderId="184" xfId="15" applyNumberFormat="1" applyFont="1" applyFill="1" applyBorder="1" applyAlignment="1">
      <alignment horizontal="right" vertical="center"/>
    </xf>
    <xf numFmtId="0" fontId="87" fillId="0" borderId="0" xfId="10" applyNumberFormat="1" applyFont="1" applyFill="1" applyBorder="1" applyAlignment="1" applyProtection="1">
      <alignment vertical="center" wrapText="1"/>
      <protection locked="0"/>
    </xf>
    <xf numFmtId="0" fontId="59" fillId="0" borderId="0" xfId="10" applyNumberFormat="1" applyFont="1" applyFill="1" applyBorder="1" applyAlignment="1" applyProtection="1">
      <alignment vertical="center" wrapText="1"/>
      <protection locked="0"/>
    </xf>
    <xf numFmtId="10" fontId="64" fillId="0" borderId="0" xfId="10" applyNumberFormat="1" applyFont="1" applyFill="1" applyBorder="1" applyAlignment="1" applyProtection="1">
      <alignment horizontal="right" vertical="center"/>
      <protection locked="0"/>
    </xf>
    <xf numFmtId="10" fontId="61" fillId="3" borderId="4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4" xfId="10" applyNumberFormat="1" applyFont="1" applyFill="1" applyBorder="1" applyAlignment="1" applyProtection="1">
      <alignment horizontal="center" vertical="center" wrapText="1"/>
      <protection locked="0"/>
    </xf>
    <xf numFmtId="49" fontId="62" fillId="12" borderId="185" xfId="10" applyNumberFormat="1" applyFont="1" applyFill="1" applyBorder="1" applyAlignment="1" applyProtection="1">
      <alignment horizontal="center" vertical="center" wrapText="1"/>
      <protection locked="0"/>
    </xf>
    <xf numFmtId="49" fontId="62" fillId="12" borderId="186" xfId="10" applyNumberFormat="1" applyFont="1" applyFill="1" applyBorder="1" applyAlignment="1" applyProtection="1">
      <alignment horizontal="left" vertical="center" wrapText="1"/>
      <protection locked="0"/>
    </xf>
    <xf numFmtId="10" fontId="62" fillId="2" borderId="19" xfId="10" applyNumberFormat="1" applyFont="1" applyFill="1" applyBorder="1" applyAlignment="1" applyProtection="1">
      <alignment horizontal="right" vertical="center"/>
      <protection locked="0"/>
    </xf>
    <xf numFmtId="49" fontId="63" fillId="13" borderId="187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188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189" xfId="10" applyNumberFormat="1" applyFont="1" applyFill="1" applyBorder="1" applyAlignment="1" applyProtection="1">
      <alignment horizontal="left" vertical="center" wrapText="1"/>
      <protection locked="0"/>
    </xf>
    <xf numFmtId="3" fontId="63" fillId="14" borderId="187" xfId="10" applyNumberFormat="1" applyFont="1" applyFill="1" applyBorder="1" applyAlignment="1" applyProtection="1">
      <alignment horizontal="right" vertical="center"/>
      <protection locked="0"/>
    </xf>
    <xf numFmtId="10" fontId="63" fillId="14" borderId="187" xfId="10" applyNumberFormat="1" applyFont="1" applyFill="1" applyBorder="1" applyAlignment="1" applyProtection="1">
      <alignment horizontal="right" vertical="center"/>
      <protection locked="0"/>
    </xf>
    <xf numFmtId="10" fontId="62" fillId="0" borderId="18" xfId="10" applyNumberFormat="1" applyFont="1" applyFill="1" applyBorder="1" applyAlignment="1" applyProtection="1">
      <alignment horizontal="right" vertical="center"/>
      <protection locked="0"/>
    </xf>
    <xf numFmtId="3" fontId="59" fillId="0" borderId="190" xfId="10" applyNumberFormat="1" applyFont="1" applyFill="1" applyBorder="1" applyAlignment="1" applyProtection="1">
      <alignment vertical="center"/>
      <protection locked="0"/>
    </xf>
    <xf numFmtId="10" fontId="59" fillId="0" borderId="190" xfId="10" applyNumberFormat="1" applyFont="1" applyFill="1" applyBorder="1" applyAlignment="1" applyProtection="1">
      <alignment horizontal="right" vertical="center"/>
      <protection locked="0"/>
    </xf>
    <xf numFmtId="3" fontId="64" fillId="0" borderId="190" xfId="10" applyNumberFormat="1" applyFont="1" applyFill="1" applyBorder="1" applyAlignment="1" applyProtection="1">
      <alignment horizontal="right" vertical="center"/>
      <protection locked="0"/>
    </xf>
    <xf numFmtId="10" fontId="64" fillId="0" borderId="190" xfId="10" applyNumberFormat="1" applyFont="1" applyFill="1" applyBorder="1" applyAlignment="1" applyProtection="1">
      <alignment horizontal="right" vertical="center"/>
      <protection locked="0"/>
    </xf>
    <xf numFmtId="49" fontId="59" fillId="10" borderId="19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92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190" xfId="10" applyNumberFormat="1" applyFont="1" applyFill="1" applyBorder="1" applyAlignment="1" applyProtection="1">
      <alignment horizontal="right" vertical="center"/>
      <protection locked="0"/>
    </xf>
    <xf numFmtId="49" fontId="59" fillId="10" borderId="155" xfId="10" applyNumberFormat="1" applyFont="1" applyFill="1" applyBorder="1" applyAlignment="1" applyProtection="1">
      <alignment vertical="center" wrapText="1"/>
      <protection locked="0"/>
    </xf>
    <xf numFmtId="10" fontId="59" fillId="10" borderId="17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19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94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166" xfId="10" applyNumberFormat="1" applyFont="1" applyFill="1" applyBorder="1" applyAlignment="1" applyProtection="1">
      <alignment horizontal="right" vertical="center"/>
      <protection locked="0"/>
    </xf>
    <xf numFmtId="10" fontId="59" fillId="0" borderId="166" xfId="10" applyNumberFormat="1" applyFont="1" applyFill="1" applyBorder="1" applyAlignment="1" applyProtection="1">
      <alignment horizontal="right" vertical="center"/>
      <protection locked="0"/>
    </xf>
    <xf numFmtId="10" fontId="59" fillId="0" borderId="17" xfId="10" applyNumberFormat="1" applyFont="1" applyFill="1" applyBorder="1" applyAlignment="1" applyProtection="1">
      <alignment horizontal="right" vertical="center"/>
      <protection locked="0"/>
    </xf>
    <xf numFmtId="3" fontId="62" fillId="0" borderId="190" xfId="10" applyNumberFormat="1" applyFont="1" applyFill="1" applyBorder="1" applyAlignment="1" applyProtection="1">
      <alignment horizontal="right" vertical="center"/>
      <protection locked="0"/>
    </xf>
    <xf numFmtId="10" fontId="62" fillId="0" borderId="190" xfId="10" applyNumberFormat="1" applyFont="1" applyFill="1" applyBorder="1" applyAlignment="1" applyProtection="1">
      <alignment horizontal="right" vertical="center"/>
      <protection locked="0"/>
    </xf>
    <xf numFmtId="3" fontId="59" fillId="0" borderId="199" xfId="10" applyNumberFormat="1" applyFont="1" applyFill="1" applyBorder="1" applyAlignment="1" applyProtection="1">
      <alignment horizontal="right" vertical="center"/>
      <protection locked="0"/>
    </xf>
    <xf numFmtId="10" fontId="59" fillId="0" borderId="199" xfId="10" applyNumberFormat="1" applyFont="1" applyFill="1" applyBorder="1" applyAlignment="1" applyProtection="1">
      <alignment horizontal="right" vertical="center"/>
      <protection locked="0"/>
    </xf>
    <xf numFmtId="49" fontId="59" fillId="10" borderId="20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01" xfId="10" applyNumberFormat="1" applyFont="1" applyFill="1" applyBorder="1" applyAlignment="1" applyProtection="1">
      <alignment horizontal="left" vertical="center" wrapText="1"/>
      <protection locked="0"/>
    </xf>
    <xf numFmtId="10" fontId="59" fillId="0" borderId="7" xfId="10" applyNumberFormat="1" applyFont="1" applyFill="1" applyBorder="1" applyAlignment="1" applyProtection="1">
      <alignment horizontal="right" vertical="center"/>
      <protection locked="0"/>
    </xf>
    <xf numFmtId="3" fontId="63" fillId="14" borderId="202" xfId="10" applyNumberFormat="1" applyFont="1" applyFill="1" applyBorder="1" applyAlignment="1" applyProtection="1">
      <alignment horizontal="right" vertical="center"/>
      <protection locked="0"/>
    </xf>
    <xf numFmtId="10" fontId="63" fillId="14" borderId="202" xfId="10" applyNumberFormat="1" applyFont="1" applyFill="1" applyBorder="1" applyAlignment="1" applyProtection="1">
      <alignment horizontal="right" vertical="center"/>
      <protection locked="0"/>
    </xf>
    <xf numFmtId="3" fontId="64" fillId="0" borderId="199" xfId="10" applyNumberFormat="1" applyFont="1" applyFill="1" applyBorder="1" applyAlignment="1" applyProtection="1">
      <alignment horizontal="right" vertical="center"/>
      <protection locked="0"/>
    </xf>
    <xf numFmtId="10" fontId="64" fillId="0" borderId="199" xfId="10" applyNumberFormat="1" applyFont="1" applyFill="1" applyBorder="1" applyAlignment="1" applyProtection="1">
      <alignment horizontal="right" vertical="center"/>
      <protection locked="0"/>
    </xf>
    <xf numFmtId="49" fontId="59" fillId="10" borderId="20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0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99" xfId="10" applyNumberFormat="1" applyFont="1" applyFill="1" applyBorder="1" applyAlignment="1" applyProtection="1">
      <alignment vertical="center" wrapText="1"/>
      <protection locked="0"/>
    </xf>
    <xf numFmtId="10" fontId="59" fillId="10" borderId="199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20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0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0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0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09" xfId="10" applyNumberFormat="1" applyFont="1" applyFill="1" applyBorder="1" applyAlignment="1" applyProtection="1">
      <alignment horizontal="left" vertical="center" wrapText="1"/>
      <protection locked="0"/>
    </xf>
    <xf numFmtId="10" fontId="63" fillId="14" borderId="105" xfId="10" applyNumberFormat="1" applyFont="1" applyFill="1" applyBorder="1" applyAlignment="1" applyProtection="1">
      <alignment horizontal="right" vertical="center"/>
      <protection locked="0"/>
    </xf>
    <xf numFmtId="10" fontId="0" fillId="0" borderId="17" xfId="0" applyNumberFormat="1" applyBorder="1" applyAlignment="1">
      <alignment horizontal="right" vertical="center"/>
    </xf>
    <xf numFmtId="3" fontId="64" fillId="0" borderId="166" xfId="10" applyNumberFormat="1" applyFont="1" applyFill="1" applyBorder="1" applyAlignment="1" applyProtection="1">
      <alignment horizontal="right" vertical="center"/>
      <protection locked="0"/>
    </xf>
    <xf numFmtId="10" fontId="64" fillId="0" borderId="166" xfId="10" applyNumberFormat="1" applyFont="1" applyFill="1" applyBorder="1" applyAlignment="1" applyProtection="1">
      <alignment horizontal="right" vertical="center"/>
      <protection locked="0"/>
    </xf>
    <xf numFmtId="49" fontId="59" fillId="10" borderId="21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66" xfId="10" applyNumberFormat="1" applyFont="1" applyFill="1" applyBorder="1" applyAlignment="1" applyProtection="1">
      <alignment vertical="center" wrapText="1"/>
      <protection locked="0"/>
    </xf>
    <xf numFmtId="10" fontId="59" fillId="10" borderId="166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212" xfId="10" applyNumberFormat="1" applyFont="1" applyFill="1" applyBorder="1" applyAlignment="1" applyProtection="1">
      <alignment horizontal="left" vertical="center" wrapText="1"/>
      <protection locked="0"/>
    </xf>
    <xf numFmtId="3" fontId="59" fillId="10" borderId="166" xfId="10" applyNumberFormat="1" applyFont="1" applyFill="1" applyBorder="1" applyAlignment="1" applyProtection="1">
      <alignment horizontal="right" vertical="center" wrapText="1"/>
      <protection locked="0"/>
    </xf>
    <xf numFmtId="3" fontId="62" fillId="0" borderId="214" xfId="10" applyNumberFormat="1" applyFont="1" applyFill="1" applyBorder="1" applyAlignment="1" applyProtection="1">
      <alignment horizontal="right" vertical="center"/>
      <protection locked="0"/>
    </xf>
    <xf numFmtId="10" fontId="62" fillId="0" borderId="214" xfId="10" applyNumberFormat="1" applyFont="1" applyFill="1" applyBorder="1" applyAlignment="1" applyProtection="1">
      <alignment horizontal="right" vertical="center"/>
      <protection locked="0"/>
    </xf>
    <xf numFmtId="3" fontId="59" fillId="0" borderId="214" xfId="10" applyNumberFormat="1" applyFont="1" applyFill="1" applyBorder="1" applyAlignment="1" applyProtection="1">
      <alignment horizontal="right" vertical="center"/>
      <protection locked="0"/>
    </xf>
    <xf numFmtId="10" fontId="59" fillId="0" borderId="214" xfId="10" applyNumberFormat="1" applyFont="1" applyFill="1" applyBorder="1" applyAlignment="1" applyProtection="1">
      <alignment horizontal="right" vertical="center"/>
      <protection locked="0"/>
    </xf>
    <xf numFmtId="49" fontId="59" fillId="10" borderId="21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1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1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18" xfId="10" applyNumberFormat="1" applyFont="1" applyFill="1" applyBorder="1" applyAlignment="1" applyProtection="1">
      <alignment horizontal="center" vertical="center" wrapText="1"/>
      <protection locked="0"/>
    </xf>
    <xf numFmtId="0" fontId="31" fillId="0" borderId="201" xfId="0" applyFont="1" applyBorder="1" applyAlignment="1">
      <alignment horizontal="left" vertical="center" wrapText="1"/>
    </xf>
    <xf numFmtId="10" fontId="59" fillId="0" borderId="154" xfId="10" applyNumberFormat="1" applyFont="1" applyFill="1" applyBorder="1" applyAlignment="1" applyProtection="1">
      <alignment horizontal="right" vertical="center"/>
      <protection locked="0"/>
    </xf>
    <xf numFmtId="10" fontId="63" fillId="14" borderId="4" xfId="10" applyNumberFormat="1" applyFont="1" applyFill="1" applyBorder="1" applyAlignment="1" applyProtection="1">
      <alignment horizontal="right" vertical="center"/>
      <protection locked="0"/>
    </xf>
    <xf numFmtId="49" fontId="59" fillId="0" borderId="157" xfId="10" applyNumberFormat="1" applyFont="1" applyFill="1" applyBorder="1" applyAlignment="1" applyProtection="1">
      <alignment horizontal="center" vertical="center" wrapText="1"/>
      <protection locked="0"/>
    </xf>
    <xf numFmtId="2" fontId="59" fillId="0" borderId="22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2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2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23" xfId="10" applyNumberFormat="1" applyFont="1" applyFill="1" applyBorder="1" applyAlignment="1" applyProtection="1">
      <alignment horizontal="left" vertical="center" wrapText="1"/>
      <protection locked="0"/>
    </xf>
    <xf numFmtId="3" fontId="62" fillId="0" borderId="166" xfId="10" applyNumberFormat="1" applyFont="1" applyFill="1" applyBorder="1" applyAlignment="1" applyProtection="1">
      <alignment horizontal="right" vertical="center"/>
      <protection locked="0"/>
    </xf>
    <xf numFmtId="10" fontId="62" fillId="0" borderId="166" xfId="10" applyNumberFormat="1" applyFont="1" applyFill="1" applyBorder="1" applyAlignment="1" applyProtection="1">
      <alignment horizontal="right" vertical="center"/>
      <protection locked="0"/>
    </xf>
    <xf numFmtId="3" fontId="59" fillId="0" borderId="226" xfId="10" applyNumberFormat="1" applyFont="1" applyFill="1" applyBorder="1" applyAlignment="1" applyProtection="1">
      <alignment horizontal="right" vertical="center"/>
      <protection locked="0"/>
    </xf>
    <xf numFmtId="10" fontId="59" fillId="0" borderId="226" xfId="10" applyNumberFormat="1" applyFont="1" applyFill="1" applyBorder="1" applyAlignment="1" applyProtection="1">
      <alignment horizontal="right" vertical="center"/>
      <protection locked="0"/>
    </xf>
    <xf numFmtId="49" fontId="59" fillId="0" borderId="191" xfId="10" applyNumberFormat="1" applyFont="1" applyFill="1" applyBorder="1" applyAlignment="1" applyProtection="1">
      <alignment horizontal="center" vertical="center" wrapText="1"/>
      <protection locked="0"/>
    </xf>
    <xf numFmtId="0" fontId="31" fillId="0" borderId="192" xfId="0" applyFont="1" applyBorder="1" applyAlignment="1">
      <alignment vertical="center" wrapText="1"/>
    </xf>
    <xf numFmtId="49" fontId="59" fillId="0" borderId="227" xfId="10" applyNumberFormat="1" applyFont="1" applyFill="1" applyBorder="1" applyAlignment="1" applyProtection="1">
      <alignment horizontal="center" vertical="center" wrapText="1"/>
      <protection locked="0"/>
    </xf>
    <xf numFmtId="0" fontId="31" fillId="0" borderId="198" xfId="0" applyFont="1" applyBorder="1" applyAlignment="1">
      <alignment vertical="center" wrapText="1"/>
    </xf>
    <xf numFmtId="49" fontId="59" fillId="10" borderId="22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9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98" xfId="10" applyNumberFormat="1" applyFont="1" applyFill="1" applyBorder="1" applyAlignment="1" applyProtection="1">
      <alignment vertical="center" wrapText="1"/>
      <protection locked="0"/>
    </xf>
    <xf numFmtId="49" fontId="59" fillId="10" borderId="228" xfId="10" applyNumberFormat="1" applyFont="1" applyFill="1" applyBorder="1" applyAlignment="1" applyProtection="1">
      <alignment vertical="center" wrapText="1"/>
      <protection locked="0"/>
    </xf>
    <xf numFmtId="10" fontId="59" fillId="10" borderId="228" xfId="10" applyNumberFormat="1" applyFont="1" applyFill="1" applyBorder="1" applyAlignment="1" applyProtection="1">
      <alignment horizontal="right" vertical="center" wrapText="1"/>
      <protection locked="0"/>
    </xf>
    <xf numFmtId="10" fontId="59" fillId="0" borderId="18" xfId="10" applyNumberFormat="1" applyFont="1" applyFill="1" applyBorder="1" applyAlignment="1" applyProtection="1">
      <alignment horizontal="right" vertical="center"/>
      <protection locked="0"/>
    </xf>
    <xf numFmtId="49" fontId="59" fillId="10" borderId="229" xfId="10" applyNumberFormat="1" applyFont="1" applyFill="1" applyBorder="1" applyAlignment="1" applyProtection="1">
      <alignment horizontal="center" vertical="center" wrapText="1"/>
      <protection locked="0"/>
    </xf>
    <xf numFmtId="10" fontId="62" fillId="2" borderId="4" xfId="10" applyNumberFormat="1" applyFont="1" applyFill="1" applyBorder="1" applyAlignment="1" applyProtection="1">
      <alignment horizontal="right" vertical="center"/>
      <protection locked="0"/>
    </xf>
    <xf numFmtId="2" fontId="59" fillId="0" borderId="22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3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31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232" xfId="10" applyNumberFormat="1" applyFont="1" applyFill="1" applyBorder="1" applyAlignment="1" applyProtection="1">
      <alignment horizontal="right" vertical="center"/>
      <protection locked="0"/>
    </xf>
    <xf numFmtId="10" fontId="59" fillId="0" borderId="232" xfId="10" applyNumberFormat="1" applyFont="1" applyFill="1" applyBorder="1" applyAlignment="1" applyProtection="1">
      <alignment horizontal="right" vertical="center"/>
      <protection locked="0"/>
    </xf>
    <xf numFmtId="10" fontId="59" fillId="0" borderId="150" xfId="10" applyNumberFormat="1" applyFont="1" applyFill="1" applyBorder="1" applyAlignment="1" applyProtection="1">
      <alignment horizontal="right" vertical="center"/>
      <protection locked="0"/>
    </xf>
    <xf numFmtId="49" fontId="59" fillId="10" borderId="17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4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46" xfId="10" applyNumberFormat="1" applyFont="1" applyFill="1" applyBorder="1" applyAlignment="1" applyProtection="1">
      <alignment vertical="center" wrapText="1"/>
      <protection locked="0"/>
    </xf>
    <xf numFmtId="49" fontId="59" fillId="10" borderId="156" xfId="10" applyNumberFormat="1" applyFont="1" applyFill="1" applyBorder="1" applyAlignment="1" applyProtection="1">
      <alignment vertical="center" wrapText="1"/>
      <protection locked="0"/>
    </xf>
    <xf numFmtId="10" fontId="59" fillId="10" borderId="18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23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3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3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36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237" xfId="10" applyNumberFormat="1" applyFont="1" applyFill="1" applyBorder="1" applyAlignment="1" applyProtection="1">
      <alignment horizontal="center" vertical="center" wrapText="1"/>
      <protection locked="0"/>
    </xf>
    <xf numFmtId="0" fontId="31" fillId="0" borderId="238" xfId="0" applyFont="1" applyBorder="1" applyAlignment="1">
      <alignment vertical="center" wrapText="1"/>
    </xf>
    <xf numFmtId="49" fontId="59" fillId="10" borderId="23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38" xfId="10" applyNumberFormat="1" applyFont="1" applyFill="1" applyBorder="1" applyAlignment="1" applyProtection="1">
      <alignment horizontal="left" vertical="center" wrapText="1"/>
      <protection locked="0"/>
    </xf>
    <xf numFmtId="10" fontId="59" fillId="10" borderId="128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15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41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242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237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23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4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4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4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4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4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81" xfId="10" applyNumberFormat="1" applyFont="1" applyFill="1" applyBorder="1" applyAlignment="1" applyProtection="1">
      <alignment vertical="center" wrapText="1"/>
      <protection locked="0"/>
    </xf>
    <xf numFmtId="49" fontId="59" fillId="0" borderId="243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240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246" xfId="10" applyNumberFormat="1" applyFont="1" applyFill="1" applyBorder="1" applyAlignment="1" applyProtection="1">
      <alignment horizontal="right" vertical="center"/>
      <protection locked="0"/>
    </xf>
    <xf numFmtId="10" fontId="59" fillId="0" borderId="246" xfId="10" applyNumberFormat="1" applyFont="1" applyFill="1" applyBorder="1" applyAlignment="1" applyProtection="1">
      <alignment horizontal="right" vertical="center"/>
      <protection locked="0"/>
    </xf>
    <xf numFmtId="49" fontId="63" fillId="13" borderId="247" xfId="10" applyNumberFormat="1" applyFont="1" applyFill="1" applyBorder="1" applyAlignment="1" applyProtection="1">
      <alignment horizontal="left" vertical="center" wrapText="1"/>
      <protection locked="0"/>
    </xf>
    <xf numFmtId="10" fontId="62" fillId="14" borderId="4" xfId="10" applyNumberFormat="1" applyFont="1" applyFill="1" applyBorder="1" applyAlignment="1" applyProtection="1">
      <alignment horizontal="right" vertical="center"/>
      <protection locked="0"/>
    </xf>
    <xf numFmtId="10" fontId="59" fillId="0" borderId="232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181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224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232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248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18" xfId="10" applyNumberFormat="1" applyFont="1" applyFill="1" applyBorder="1" applyAlignment="1" applyProtection="1">
      <alignment horizontal="right" vertical="center"/>
      <protection locked="0"/>
    </xf>
    <xf numFmtId="10" fontId="64" fillId="0" borderId="18" xfId="10" applyNumberFormat="1" applyFont="1" applyFill="1" applyBorder="1" applyAlignment="1" applyProtection="1">
      <alignment horizontal="right" vertical="center"/>
      <protection locked="0"/>
    </xf>
    <xf numFmtId="49" fontId="59" fillId="10" borderId="249" xfId="10" applyNumberFormat="1" applyFont="1" applyFill="1" applyBorder="1" applyAlignment="1" applyProtection="1">
      <alignment vertical="center" wrapText="1"/>
      <protection locked="0"/>
    </xf>
    <xf numFmtId="2" fontId="59" fillId="10" borderId="18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170" xfId="10" applyNumberFormat="1" applyFont="1" applyFill="1" applyBorder="1" applyAlignment="1" applyProtection="1">
      <alignment vertical="center" wrapText="1"/>
      <protection locked="0"/>
    </xf>
    <xf numFmtId="49" fontId="59" fillId="10" borderId="18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148" xfId="10" applyNumberFormat="1" applyFont="1" applyFill="1" applyBorder="1" applyAlignment="1" applyProtection="1">
      <alignment vertical="center" wrapText="1"/>
      <protection locked="0"/>
    </xf>
    <xf numFmtId="49" fontId="59" fillId="10" borderId="251" xfId="10" applyNumberFormat="1" applyFont="1" applyFill="1" applyBorder="1" applyAlignment="1" applyProtection="1">
      <alignment horizontal="center" vertical="center" wrapText="1"/>
      <protection locked="0"/>
    </xf>
    <xf numFmtId="0" fontId="31" fillId="0" borderId="238" xfId="0" applyFont="1" applyBorder="1" applyAlignment="1">
      <alignment horizontal="left" vertical="center" wrapText="1"/>
    </xf>
    <xf numFmtId="10" fontId="62" fillId="6" borderId="8" xfId="10" applyNumberFormat="1" applyFont="1" applyFill="1" applyBorder="1" applyAlignment="1" applyProtection="1">
      <alignment horizontal="right" vertical="center"/>
      <protection locked="0"/>
    </xf>
    <xf numFmtId="3" fontId="59" fillId="6" borderId="166" xfId="10" applyNumberFormat="1" applyFont="1" applyFill="1" applyBorder="1" applyAlignment="1" applyProtection="1">
      <alignment horizontal="right" vertical="center"/>
      <protection locked="0"/>
    </xf>
    <xf numFmtId="10" fontId="59" fillId="6" borderId="166" xfId="10" applyNumberFormat="1" applyFont="1" applyFill="1" applyBorder="1" applyAlignment="1" applyProtection="1">
      <alignment horizontal="right" vertical="center"/>
      <protection locked="0"/>
    </xf>
    <xf numFmtId="49" fontId="59" fillId="0" borderId="224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224" xfId="10" applyNumberFormat="1" applyFont="1" applyFill="1" applyBorder="1" applyAlignment="1" applyProtection="1">
      <alignment horizontal="left" vertical="center" wrapText="1"/>
      <protection locked="0"/>
    </xf>
    <xf numFmtId="3" fontId="63" fillId="6" borderId="166" xfId="10" applyNumberFormat="1" applyFont="1" applyFill="1" applyBorder="1" applyAlignment="1" applyProtection="1">
      <alignment horizontal="right" vertical="center"/>
      <protection locked="0"/>
    </xf>
    <xf numFmtId="10" fontId="63" fillId="6" borderId="166" xfId="10" applyNumberFormat="1" applyFont="1" applyFill="1" applyBorder="1" applyAlignment="1" applyProtection="1">
      <alignment horizontal="right" vertical="center"/>
      <protection locked="0"/>
    </xf>
    <xf numFmtId="49" fontId="59" fillId="10" borderId="252" xfId="10" applyNumberFormat="1" applyFont="1" applyFill="1" applyBorder="1" applyAlignment="1" applyProtection="1">
      <alignment horizontal="left" vertical="center" wrapText="1"/>
      <protection locked="0"/>
    </xf>
    <xf numFmtId="10" fontId="62" fillId="14" borderId="14" xfId="10" applyNumberFormat="1" applyFont="1" applyFill="1" applyBorder="1" applyAlignment="1" applyProtection="1">
      <alignment horizontal="right" vertical="center"/>
      <protection locked="0"/>
    </xf>
    <xf numFmtId="3" fontId="59" fillId="6" borderId="17" xfId="10" applyNumberFormat="1" applyFont="1" applyFill="1" applyBorder="1" applyAlignment="1" applyProtection="1">
      <alignment horizontal="right" vertical="center"/>
      <protection locked="0"/>
    </xf>
    <xf numFmtId="10" fontId="59" fillId="0" borderId="254" xfId="10" applyNumberFormat="1" applyFont="1" applyFill="1" applyBorder="1" applyAlignment="1" applyProtection="1">
      <alignment horizontal="right" vertical="center"/>
      <protection locked="0"/>
    </xf>
    <xf numFmtId="49" fontId="59" fillId="15" borderId="255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256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254" xfId="10" applyNumberFormat="1" applyFont="1" applyFill="1" applyBorder="1" applyAlignment="1" applyProtection="1">
      <alignment horizontal="right" vertical="center"/>
      <protection locked="0"/>
    </xf>
    <xf numFmtId="49" fontId="59" fillId="10" borderId="25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5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6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53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25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3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5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6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62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246" xfId="10" applyNumberFormat="1" applyFont="1" applyFill="1" applyBorder="1" applyAlignment="1" applyProtection="1">
      <alignment vertical="center"/>
      <protection locked="0"/>
    </xf>
    <xf numFmtId="49" fontId="59" fillId="10" borderId="26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66" xfId="10" applyNumberFormat="1" applyFont="1" applyFill="1" applyBorder="1" applyAlignment="1" applyProtection="1">
      <alignment horizontal="left" vertical="center" wrapText="1"/>
      <protection locked="0"/>
    </xf>
    <xf numFmtId="3" fontId="64" fillId="0" borderId="246" xfId="10" applyNumberFormat="1" applyFont="1" applyFill="1" applyBorder="1" applyAlignment="1" applyProtection="1">
      <alignment horizontal="right" vertical="center"/>
      <protection locked="0"/>
    </xf>
    <xf numFmtId="10" fontId="64" fillId="0" borderId="246" xfId="10" applyNumberFormat="1" applyFont="1" applyFill="1" applyBorder="1" applyAlignment="1" applyProtection="1">
      <alignment horizontal="right" vertical="center"/>
      <protection locked="0"/>
    </xf>
    <xf numFmtId="49" fontId="59" fillId="10" borderId="26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6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6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68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181" xfId="10" applyNumberFormat="1" applyFont="1" applyFill="1" applyBorder="1" applyAlignment="1" applyProtection="1">
      <alignment horizontal="right" vertical="center"/>
      <protection locked="0"/>
    </xf>
    <xf numFmtId="49" fontId="59" fillId="10" borderId="27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72" xfId="10" applyNumberFormat="1" applyFont="1" applyFill="1" applyBorder="1" applyAlignment="1" applyProtection="1">
      <alignment horizontal="left" vertical="center" wrapText="1"/>
      <protection locked="0"/>
    </xf>
    <xf numFmtId="10" fontId="62" fillId="6" borderId="18" xfId="10" applyNumberFormat="1" applyFont="1" applyFill="1" applyBorder="1" applyAlignment="1" applyProtection="1">
      <alignment horizontal="right" vertical="center"/>
      <protection locked="0"/>
    </xf>
    <xf numFmtId="49" fontId="59" fillId="10" borderId="27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75" xfId="10" applyNumberFormat="1" applyFont="1" applyFill="1" applyBorder="1" applyAlignment="1" applyProtection="1">
      <alignment horizontal="center" vertical="center" wrapText="1"/>
      <protection locked="0"/>
    </xf>
    <xf numFmtId="3" fontId="59" fillId="6" borderId="254" xfId="10" applyNumberFormat="1" applyFont="1" applyFill="1" applyBorder="1" applyAlignment="1" applyProtection="1">
      <alignment horizontal="right" vertical="center"/>
      <protection locked="0"/>
    </xf>
    <xf numFmtId="10" fontId="59" fillId="6" borderId="254" xfId="10" applyNumberFormat="1" applyFont="1" applyFill="1" applyBorder="1" applyAlignment="1" applyProtection="1">
      <alignment horizontal="right" vertical="center"/>
      <protection locked="0"/>
    </xf>
    <xf numFmtId="49" fontId="59" fillId="15" borderId="27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77" xfId="10" applyNumberFormat="1" applyFont="1" applyFill="1" applyBorder="1" applyAlignment="1" applyProtection="1">
      <alignment horizontal="center" vertical="center" wrapText="1"/>
      <protection locked="0"/>
    </xf>
    <xf numFmtId="49" fontId="31" fillId="15" borderId="27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79" xfId="10" applyNumberFormat="1" applyFont="1" applyFill="1" applyBorder="1" applyAlignment="1" applyProtection="1">
      <alignment horizontal="left" vertical="center" wrapText="1"/>
      <protection locked="0"/>
    </xf>
    <xf numFmtId="49" fontId="31" fillId="15" borderId="28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5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28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8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8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8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8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8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8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5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87" xfId="10" applyNumberFormat="1" applyFont="1" applyFill="1" applyBorder="1" applyAlignment="1" applyProtection="1">
      <alignment horizontal="left" vertical="center" wrapText="1"/>
      <protection locked="0"/>
    </xf>
    <xf numFmtId="3" fontId="62" fillId="6" borderId="254" xfId="10" applyNumberFormat="1" applyFont="1" applyFill="1" applyBorder="1" applyAlignment="1" applyProtection="1">
      <alignment horizontal="right" vertical="center"/>
      <protection locked="0"/>
    </xf>
    <xf numFmtId="10" fontId="62" fillId="6" borderId="254" xfId="10" applyNumberFormat="1" applyFont="1" applyFill="1" applyBorder="1" applyAlignment="1" applyProtection="1">
      <alignment horizontal="right" vertical="center"/>
      <protection locked="0"/>
    </xf>
    <xf numFmtId="49" fontId="59" fillId="10" borderId="289" xfId="10" applyNumberFormat="1" applyFont="1" applyFill="1" applyBorder="1" applyAlignment="1" applyProtection="1">
      <alignment horizontal="center" vertical="center" wrapText="1"/>
      <protection locked="0"/>
    </xf>
    <xf numFmtId="10" fontId="59" fillId="6" borderId="7" xfId="10" applyNumberFormat="1" applyFont="1" applyFill="1" applyBorder="1" applyAlignment="1" applyProtection="1">
      <alignment horizontal="right" vertical="center"/>
      <protection locked="0"/>
    </xf>
    <xf numFmtId="49" fontId="59" fillId="0" borderId="279" xfId="10" applyNumberFormat="1" applyFont="1" applyFill="1" applyBorder="1" applyAlignment="1" applyProtection="1">
      <alignment horizontal="left" vertical="center" wrapText="1"/>
      <protection locked="0"/>
    </xf>
    <xf numFmtId="3" fontId="62" fillId="0" borderId="254" xfId="10" applyNumberFormat="1" applyFont="1" applyFill="1" applyBorder="1" applyAlignment="1" applyProtection="1">
      <alignment horizontal="right" vertical="center"/>
      <protection locked="0"/>
    </xf>
    <xf numFmtId="10" fontId="62" fillId="0" borderId="254" xfId="10" applyNumberFormat="1" applyFont="1" applyFill="1" applyBorder="1" applyAlignment="1" applyProtection="1">
      <alignment horizontal="right" vertical="center"/>
      <protection locked="0"/>
    </xf>
    <xf numFmtId="49" fontId="59" fillId="10" borderId="29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80" xfId="10" applyNumberFormat="1" applyFont="1" applyFill="1" applyBorder="1" applyAlignment="1" applyProtection="1">
      <alignment horizontal="center" vertical="center" wrapText="1"/>
      <protection locked="0"/>
    </xf>
    <xf numFmtId="49" fontId="64" fillId="10" borderId="27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294" xfId="10" applyNumberFormat="1" applyFont="1" applyFill="1" applyBorder="1" applyAlignment="1" applyProtection="1">
      <alignment horizontal="right" vertical="center"/>
      <protection locked="0"/>
    </xf>
    <xf numFmtId="10" fontId="59" fillId="0" borderId="294" xfId="10" applyNumberFormat="1" applyFont="1" applyFill="1" applyBorder="1" applyAlignment="1" applyProtection="1">
      <alignment horizontal="right" vertical="center"/>
      <protection locked="0"/>
    </xf>
    <xf numFmtId="3" fontId="62" fillId="0" borderId="297" xfId="10" applyNumberFormat="1" applyFont="1" applyFill="1" applyBorder="1" applyAlignment="1" applyProtection="1">
      <alignment horizontal="right" vertical="center"/>
      <protection locked="0"/>
    </xf>
    <xf numFmtId="10" fontId="62" fillId="0" borderId="297" xfId="10" applyNumberFormat="1" applyFont="1" applyFill="1" applyBorder="1" applyAlignment="1" applyProtection="1">
      <alignment horizontal="right" vertical="center"/>
      <protection locked="0"/>
    </xf>
    <xf numFmtId="49" fontId="59" fillId="10" borderId="29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0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01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02" xfId="10" applyNumberFormat="1" applyFont="1" applyFill="1" applyBorder="1" applyAlignment="1" applyProtection="1">
      <alignment horizontal="right" vertical="center"/>
      <protection locked="0"/>
    </xf>
    <xf numFmtId="10" fontId="59" fillId="0" borderId="302" xfId="10" applyNumberFormat="1" applyFont="1" applyFill="1" applyBorder="1" applyAlignment="1" applyProtection="1">
      <alignment horizontal="right" vertical="center"/>
      <protection locked="0"/>
    </xf>
    <xf numFmtId="2" fontId="59" fillId="0" borderId="290" xfId="10" applyNumberFormat="1" applyFont="1" applyFill="1" applyBorder="1" applyAlignment="1" applyProtection="1">
      <alignment horizontal="left" vertical="center" wrapText="1"/>
      <protection locked="0"/>
    </xf>
    <xf numFmtId="2" fontId="59" fillId="0" borderId="303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04" xfId="10" applyNumberFormat="1" applyFont="1" applyFill="1" applyBorder="1" applyAlignment="1" applyProtection="1">
      <alignment horizontal="right" vertical="center"/>
      <protection locked="0"/>
    </xf>
    <xf numFmtId="10" fontId="59" fillId="0" borderId="304" xfId="10" applyNumberFormat="1" applyFont="1" applyFill="1" applyBorder="1" applyAlignment="1" applyProtection="1">
      <alignment horizontal="right" vertical="center"/>
      <protection locked="0"/>
    </xf>
    <xf numFmtId="49" fontId="59" fillId="10" borderId="305" xfId="10" applyNumberFormat="1" applyFont="1" applyFill="1" applyBorder="1" applyAlignment="1" applyProtection="1">
      <alignment horizontal="center" vertical="center" wrapText="1"/>
      <protection locked="0"/>
    </xf>
    <xf numFmtId="2" fontId="59" fillId="0" borderId="306" xfId="10" applyNumberFormat="1" applyFont="1" applyFill="1" applyBorder="1" applyAlignment="1" applyProtection="1">
      <alignment horizontal="left" vertical="center" wrapText="1"/>
      <protection locked="0"/>
    </xf>
    <xf numFmtId="2" fontId="59" fillId="0" borderId="287" xfId="10" applyNumberFormat="1" applyFont="1" applyFill="1" applyBorder="1" applyAlignment="1" applyProtection="1">
      <alignment horizontal="left" vertical="center" wrapText="1"/>
      <protection locked="0"/>
    </xf>
    <xf numFmtId="2" fontId="59" fillId="0" borderId="18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9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7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0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09" xfId="10" applyNumberFormat="1" applyFont="1" applyFill="1" applyBorder="1" applyAlignment="1" applyProtection="1">
      <alignment horizontal="left" vertical="center" wrapText="1"/>
      <protection locked="0"/>
    </xf>
    <xf numFmtId="3" fontId="64" fillId="0" borderId="302" xfId="10" applyNumberFormat="1" applyFont="1" applyFill="1" applyBorder="1" applyAlignment="1" applyProtection="1">
      <alignment horizontal="right" vertical="center"/>
      <protection locked="0"/>
    </xf>
    <xf numFmtId="10" fontId="64" fillId="0" borderId="302" xfId="10" applyNumberFormat="1" applyFont="1" applyFill="1" applyBorder="1" applyAlignment="1" applyProtection="1">
      <alignment horizontal="right" vertical="center"/>
      <protection locked="0"/>
    </xf>
    <xf numFmtId="3" fontId="59" fillId="0" borderId="297" xfId="10" applyNumberFormat="1" applyFont="1" applyFill="1" applyBorder="1" applyAlignment="1" applyProtection="1">
      <alignment horizontal="right" vertical="center"/>
      <protection locked="0"/>
    </xf>
    <xf numFmtId="10" fontId="59" fillId="0" borderId="297" xfId="10" applyNumberFormat="1" applyFont="1" applyFill="1" applyBorder="1" applyAlignment="1" applyProtection="1">
      <alignment horizontal="right" vertical="center"/>
      <protection locked="0"/>
    </xf>
    <xf numFmtId="10" fontId="62" fillId="6" borderId="19" xfId="10" applyNumberFormat="1" applyFont="1" applyFill="1" applyBorder="1" applyAlignment="1" applyProtection="1">
      <alignment horizontal="right" vertical="center"/>
      <protection locked="0"/>
    </xf>
    <xf numFmtId="49" fontId="59" fillId="10" borderId="306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29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9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12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280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28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1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03" xfId="10" applyNumberFormat="1" applyFont="1" applyFill="1" applyBorder="1" applyAlignment="1" applyProtection="1">
      <alignment horizontal="left" vertical="center" wrapText="1"/>
      <protection locked="0"/>
    </xf>
    <xf numFmtId="3" fontId="62" fillId="0" borderId="166" xfId="10" applyNumberFormat="1" applyFont="1" applyFill="1" applyBorder="1" applyAlignment="1" applyProtection="1">
      <alignment vertical="center"/>
      <protection locked="0"/>
    </xf>
    <xf numFmtId="3" fontId="59" fillId="0" borderId="166" xfId="10" applyNumberFormat="1" applyFont="1" applyFill="1" applyBorder="1" applyAlignment="1" applyProtection="1">
      <alignment vertical="center"/>
      <protection locked="0"/>
    </xf>
    <xf numFmtId="49" fontId="59" fillId="15" borderId="300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301" xfId="10" applyNumberFormat="1" applyFont="1" applyFill="1" applyBorder="1" applyAlignment="1" applyProtection="1">
      <alignment horizontal="left" vertical="center" wrapText="1"/>
      <protection locked="0"/>
    </xf>
    <xf numFmtId="49" fontId="31" fillId="0" borderId="283" xfId="0" applyNumberFormat="1" applyFont="1" applyBorder="1" applyAlignment="1">
      <alignment vertical="center" wrapText="1"/>
    </xf>
    <xf numFmtId="49" fontId="59" fillId="15" borderId="35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316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28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17" xfId="10" applyNumberFormat="1" applyFont="1" applyFill="1" applyBorder="1" applyAlignment="1" applyProtection="1">
      <alignment vertical="center" wrapText="1"/>
      <protection locked="0"/>
    </xf>
    <xf numFmtId="49" fontId="59" fillId="15" borderId="289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291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254" xfId="10" applyNumberFormat="1" applyFont="1" applyFill="1" applyBorder="1" applyAlignment="1" applyProtection="1">
      <alignment vertical="center"/>
      <protection locked="0"/>
    </xf>
    <xf numFmtId="49" fontId="59" fillId="10" borderId="31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2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2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2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2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2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2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27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328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330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32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31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317" xfId="0" applyBorder="1" applyAlignment="1">
      <alignment vertical="center"/>
    </xf>
    <xf numFmtId="10" fontId="0" fillId="0" borderId="18" xfId="0" applyNumberFormat="1" applyBorder="1" applyAlignment="1">
      <alignment horizontal="right" vertical="center"/>
    </xf>
    <xf numFmtId="49" fontId="59" fillId="10" borderId="318" xfId="10" applyNumberFormat="1" applyFont="1" applyFill="1" applyBorder="1" applyAlignment="1" applyProtection="1">
      <alignment horizontal="center" vertical="center" wrapText="1"/>
      <protection locked="0"/>
    </xf>
    <xf numFmtId="0" fontId="31" fillId="0" borderId="320" xfId="0" applyFont="1" applyBorder="1" applyAlignment="1">
      <alignment horizontal="left" vertical="center" wrapText="1"/>
    </xf>
    <xf numFmtId="3" fontId="59" fillId="6" borderId="333" xfId="10" applyNumberFormat="1" applyFont="1" applyFill="1" applyBorder="1" applyAlignment="1" applyProtection="1">
      <alignment horizontal="right" vertical="center"/>
      <protection locked="0"/>
    </xf>
    <xf numFmtId="10" fontId="59" fillId="6" borderId="333" xfId="10" applyNumberFormat="1" applyFont="1" applyFill="1" applyBorder="1" applyAlignment="1" applyProtection="1">
      <alignment horizontal="right" vertical="center"/>
      <protection locked="0"/>
    </xf>
    <xf numFmtId="3" fontId="59" fillId="0" borderId="333" xfId="10" applyNumberFormat="1" applyFont="1" applyFill="1" applyBorder="1" applyAlignment="1" applyProtection="1">
      <alignment horizontal="right" vertical="center"/>
      <protection locked="0"/>
    </xf>
    <xf numFmtId="10" fontId="59" fillId="0" borderId="333" xfId="10" applyNumberFormat="1" applyFont="1" applyFill="1" applyBorder="1" applyAlignment="1" applyProtection="1">
      <alignment horizontal="right" vertical="center"/>
      <protection locked="0"/>
    </xf>
    <xf numFmtId="49" fontId="59" fillId="10" borderId="31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3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3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3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17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334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318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37" xfId="10" applyNumberFormat="1" applyFont="1" applyFill="1" applyBorder="1" applyAlignment="1" applyProtection="1">
      <alignment horizontal="right" vertical="center"/>
      <protection locked="0"/>
    </xf>
    <xf numFmtId="10" fontId="59" fillId="0" borderId="337" xfId="10" applyNumberFormat="1" applyFont="1" applyFill="1" applyBorder="1" applyAlignment="1" applyProtection="1">
      <alignment horizontal="right" vertical="center"/>
      <protection locked="0"/>
    </xf>
    <xf numFmtId="49" fontId="59" fillId="10" borderId="33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14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339" xfId="10" applyNumberFormat="1" applyFont="1" applyFill="1" applyBorder="1" applyAlignment="1" applyProtection="1">
      <alignment horizontal="right" vertical="center"/>
      <protection locked="0"/>
    </xf>
    <xf numFmtId="10" fontId="59" fillId="0" borderId="339" xfId="10" applyNumberFormat="1" applyFont="1" applyFill="1" applyBorder="1" applyAlignment="1" applyProtection="1">
      <alignment horizontal="right" vertical="center"/>
      <protection locked="0"/>
    </xf>
    <xf numFmtId="49" fontId="59" fillId="10" borderId="34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41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42" xfId="10" applyNumberFormat="1" applyFont="1" applyFill="1" applyBorder="1" applyAlignment="1" applyProtection="1">
      <alignment horizontal="right" vertical="center"/>
      <protection locked="0"/>
    </xf>
    <xf numFmtId="10" fontId="59" fillId="0" borderId="342" xfId="10" applyNumberFormat="1" applyFont="1" applyFill="1" applyBorder="1" applyAlignment="1" applyProtection="1">
      <alignment horizontal="right" vertical="center"/>
      <protection locked="0"/>
    </xf>
    <xf numFmtId="49" fontId="59" fillId="10" borderId="34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44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45" xfId="10" applyNumberFormat="1" applyFont="1" applyFill="1" applyBorder="1" applyAlignment="1" applyProtection="1">
      <alignment horizontal="right" vertical="center"/>
      <protection locked="0"/>
    </xf>
    <xf numFmtId="10" fontId="59" fillId="0" borderId="345" xfId="10" applyNumberFormat="1" applyFont="1" applyFill="1" applyBorder="1" applyAlignment="1" applyProtection="1">
      <alignment horizontal="right" vertical="center"/>
      <protection locked="0"/>
    </xf>
    <xf numFmtId="49" fontId="59" fillId="10" borderId="34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47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48" xfId="10" applyNumberFormat="1" applyFont="1" applyFill="1" applyBorder="1" applyAlignment="1" applyProtection="1">
      <alignment horizontal="right" vertical="center"/>
      <protection locked="0"/>
    </xf>
    <xf numFmtId="10" fontId="59" fillId="0" borderId="348" xfId="10" applyNumberFormat="1" applyFont="1" applyFill="1" applyBorder="1" applyAlignment="1" applyProtection="1">
      <alignment horizontal="right" vertical="center"/>
      <protection locked="0"/>
    </xf>
    <xf numFmtId="49" fontId="59" fillId="10" borderId="34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50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51" xfId="10" applyNumberFormat="1" applyFont="1" applyFill="1" applyBorder="1" applyAlignment="1" applyProtection="1">
      <alignment horizontal="right" vertical="center"/>
      <protection locked="0"/>
    </xf>
    <xf numFmtId="10" fontId="59" fillId="0" borderId="351" xfId="10" applyNumberFormat="1" applyFont="1" applyFill="1" applyBorder="1" applyAlignment="1" applyProtection="1">
      <alignment horizontal="right" vertical="center"/>
      <protection locked="0"/>
    </xf>
    <xf numFmtId="49" fontId="59" fillId="10" borderId="35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53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54" xfId="10" applyNumberFormat="1" applyFont="1" applyFill="1" applyBorder="1" applyAlignment="1" applyProtection="1">
      <alignment horizontal="right" vertical="center"/>
      <protection locked="0"/>
    </xf>
    <xf numFmtId="10" fontId="59" fillId="0" borderId="354" xfId="10" applyNumberFormat="1" applyFont="1" applyFill="1" applyBorder="1" applyAlignment="1" applyProtection="1">
      <alignment horizontal="right" vertical="center"/>
      <protection locked="0"/>
    </xf>
    <xf numFmtId="49" fontId="59" fillId="10" borderId="35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56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57" xfId="10" applyNumberFormat="1" applyFont="1" applyFill="1" applyBorder="1" applyAlignment="1" applyProtection="1">
      <alignment horizontal="right" vertical="center"/>
      <protection locked="0"/>
    </xf>
    <xf numFmtId="10" fontId="59" fillId="0" borderId="357" xfId="10" applyNumberFormat="1" applyFont="1" applyFill="1" applyBorder="1" applyAlignment="1" applyProtection="1">
      <alignment horizontal="right" vertical="center"/>
      <protection locked="0"/>
    </xf>
    <xf numFmtId="49" fontId="59" fillId="10" borderId="35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5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60" xfId="10" applyNumberFormat="1" applyFont="1" applyFill="1" applyBorder="1" applyAlignment="1" applyProtection="1">
      <alignment horizontal="right" vertical="center"/>
      <protection locked="0"/>
    </xf>
    <xf numFmtId="10" fontId="59" fillId="0" borderId="360" xfId="10" applyNumberFormat="1" applyFont="1" applyFill="1" applyBorder="1" applyAlignment="1" applyProtection="1">
      <alignment horizontal="right" vertical="center"/>
      <protection locked="0"/>
    </xf>
    <xf numFmtId="49" fontId="59" fillId="10" borderId="36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62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63" xfId="10" applyNumberFormat="1" applyFont="1" applyFill="1" applyBorder="1" applyAlignment="1" applyProtection="1">
      <alignment horizontal="right" vertical="center"/>
      <protection locked="0"/>
    </xf>
    <xf numFmtId="10" fontId="59" fillId="0" borderId="363" xfId="10" applyNumberFormat="1" applyFont="1" applyFill="1" applyBorder="1" applyAlignment="1" applyProtection="1">
      <alignment horizontal="right" vertical="center"/>
      <protection locked="0"/>
    </xf>
    <xf numFmtId="49" fontId="59" fillId="10" borderId="36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65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66" xfId="10" applyNumberFormat="1" applyFont="1" applyFill="1" applyBorder="1" applyAlignment="1" applyProtection="1">
      <alignment horizontal="right" vertical="center"/>
      <protection locked="0"/>
    </xf>
    <xf numFmtId="10" fontId="59" fillId="0" borderId="366" xfId="10" applyNumberFormat="1" applyFont="1" applyFill="1" applyBorder="1" applyAlignment="1" applyProtection="1">
      <alignment horizontal="right" vertical="center"/>
      <protection locked="0"/>
    </xf>
    <xf numFmtId="49" fontId="59" fillId="10" borderId="36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68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69" xfId="10" applyNumberFormat="1" applyFont="1" applyFill="1" applyBorder="1" applyAlignment="1" applyProtection="1">
      <alignment horizontal="right" vertical="center"/>
      <protection locked="0"/>
    </xf>
    <xf numFmtId="10" fontId="59" fillId="0" borderId="369" xfId="10" applyNumberFormat="1" applyFont="1" applyFill="1" applyBorder="1" applyAlignment="1" applyProtection="1">
      <alignment horizontal="right" vertical="center"/>
      <protection locked="0"/>
    </xf>
    <xf numFmtId="49" fontId="59" fillId="10" borderId="37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71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72" xfId="10" applyNumberFormat="1" applyFont="1" applyFill="1" applyBorder="1" applyAlignment="1" applyProtection="1">
      <alignment horizontal="right" vertical="center"/>
      <protection locked="0"/>
    </xf>
    <xf numFmtId="10" fontId="59" fillId="0" borderId="372" xfId="10" applyNumberFormat="1" applyFont="1" applyFill="1" applyBorder="1" applyAlignment="1" applyProtection="1">
      <alignment horizontal="right" vertical="center"/>
      <protection locked="0"/>
    </xf>
    <xf numFmtId="49" fontId="59" fillId="10" borderId="37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74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75" xfId="10" applyNumberFormat="1" applyFont="1" applyFill="1" applyBorder="1" applyAlignment="1" applyProtection="1">
      <alignment horizontal="right" vertical="center"/>
      <protection locked="0"/>
    </xf>
    <xf numFmtId="10" fontId="59" fillId="0" borderId="375" xfId="10" applyNumberFormat="1" applyFont="1" applyFill="1" applyBorder="1" applyAlignment="1" applyProtection="1">
      <alignment horizontal="right" vertical="center"/>
      <protection locked="0"/>
    </xf>
    <xf numFmtId="49" fontId="59" fillId="10" borderId="37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77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78" xfId="10" applyNumberFormat="1" applyFont="1" applyFill="1" applyBorder="1" applyAlignment="1" applyProtection="1">
      <alignment horizontal="right" vertical="center"/>
      <protection locked="0"/>
    </xf>
    <xf numFmtId="10" fontId="59" fillId="0" borderId="378" xfId="10" applyNumberFormat="1" applyFont="1" applyFill="1" applyBorder="1" applyAlignment="1" applyProtection="1">
      <alignment horizontal="right" vertical="center"/>
      <protection locked="0"/>
    </xf>
    <xf numFmtId="49" fontId="59" fillId="10" borderId="37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80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81" xfId="10" applyNumberFormat="1" applyFont="1" applyFill="1" applyBorder="1" applyAlignment="1" applyProtection="1">
      <alignment horizontal="right" vertical="center"/>
      <protection locked="0"/>
    </xf>
    <xf numFmtId="10" fontId="59" fillId="0" borderId="381" xfId="10" applyNumberFormat="1" applyFont="1" applyFill="1" applyBorder="1" applyAlignment="1" applyProtection="1">
      <alignment horizontal="right" vertical="center"/>
      <protection locked="0"/>
    </xf>
    <xf numFmtId="49" fontId="59" fillId="10" borderId="38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83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84" xfId="10" applyNumberFormat="1" applyFont="1" applyFill="1" applyBorder="1" applyAlignment="1" applyProtection="1">
      <alignment horizontal="right" vertical="center"/>
      <protection locked="0"/>
    </xf>
    <xf numFmtId="10" fontId="59" fillId="0" borderId="384" xfId="10" applyNumberFormat="1" applyFont="1" applyFill="1" applyBorder="1" applyAlignment="1" applyProtection="1">
      <alignment horizontal="right" vertical="center"/>
      <protection locked="0"/>
    </xf>
    <xf numFmtId="49" fontId="59" fillId="10" borderId="38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86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87" xfId="10" applyNumberFormat="1" applyFont="1" applyFill="1" applyBorder="1" applyAlignment="1" applyProtection="1">
      <alignment horizontal="right" vertical="center"/>
      <protection locked="0"/>
    </xf>
    <xf numFmtId="10" fontId="59" fillId="0" borderId="387" xfId="10" applyNumberFormat="1" applyFont="1" applyFill="1" applyBorder="1" applyAlignment="1" applyProtection="1">
      <alignment horizontal="right" vertical="center"/>
      <protection locked="0"/>
    </xf>
    <xf numFmtId="49" fontId="59" fillId="10" borderId="38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8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90" xfId="10" applyNumberFormat="1" applyFont="1" applyFill="1" applyBorder="1" applyAlignment="1" applyProtection="1">
      <alignment horizontal="right" vertical="center"/>
      <protection locked="0"/>
    </xf>
    <xf numFmtId="10" fontId="59" fillId="0" borderId="390" xfId="10" applyNumberFormat="1" applyFont="1" applyFill="1" applyBorder="1" applyAlignment="1" applyProtection="1">
      <alignment horizontal="right" vertical="center"/>
      <protection locked="0"/>
    </xf>
    <xf numFmtId="49" fontId="59" fillId="10" borderId="39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92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93" xfId="10" applyNumberFormat="1" applyFont="1" applyFill="1" applyBorder="1" applyAlignment="1" applyProtection="1">
      <alignment horizontal="right" vertical="center"/>
      <protection locked="0"/>
    </xf>
    <xf numFmtId="10" fontId="59" fillId="0" borderId="393" xfId="10" applyNumberFormat="1" applyFont="1" applyFill="1" applyBorder="1" applyAlignment="1" applyProtection="1">
      <alignment horizontal="right" vertical="center"/>
      <protection locked="0"/>
    </xf>
    <xf numFmtId="49" fontId="59" fillId="10" borderId="39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95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96" xfId="10" applyNumberFormat="1" applyFont="1" applyFill="1" applyBorder="1" applyAlignment="1" applyProtection="1">
      <alignment horizontal="right" vertical="center"/>
      <protection locked="0"/>
    </xf>
    <xf numFmtId="10" fontId="59" fillId="0" borderId="396" xfId="10" applyNumberFormat="1" applyFont="1" applyFill="1" applyBorder="1" applyAlignment="1" applyProtection="1">
      <alignment horizontal="right" vertical="center"/>
      <protection locked="0"/>
    </xf>
    <xf numFmtId="49" fontId="59" fillId="10" borderId="39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98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99" xfId="10" applyNumberFormat="1" applyFont="1" applyFill="1" applyBorder="1" applyAlignment="1" applyProtection="1">
      <alignment horizontal="right" vertical="center"/>
      <protection locked="0"/>
    </xf>
    <xf numFmtId="10" fontId="59" fillId="0" borderId="399" xfId="10" applyNumberFormat="1" applyFont="1" applyFill="1" applyBorder="1" applyAlignment="1" applyProtection="1">
      <alignment horizontal="right" vertical="center"/>
      <protection locked="0"/>
    </xf>
    <xf numFmtId="49" fontId="59" fillId="10" borderId="40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01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02" xfId="10" applyNumberFormat="1" applyFont="1" applyFill="1" applyBorder="1" applyAlignment="1" applyProtection="1">
      <alignment horizontal="right" vertical="center"/>
      <protection locked="0"/>
    </xf>
    <xf numFmtId="10" fontId="59" fillId="0" borderId="402" xfId="10" applyNumberFormat="1" applyFont="1" applyFill="1" applyBorder="1" applyAlignment="1" applyProtection="1">
      <alignment horizontal="right" vertical="center"/>
      <protection locked="0"/>
    </xf>
    <xf numFmtId="49" fontId="59" fillId="10" borderId="40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0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04" xfId="10" applyNumberFormat="1" applyFont="1" applyFill="1" applyBorder="1" applyAlignment="1" applyProtection="1">
      <alignment vertical="center" wrapText="1"/>
      <protection locked="0"/>
    </xf>
    <xf numFmtId="10" fontId="59" fillId="10" borderId="402" xfId="10" applyNumberFormat="1" applyFont="1" applyFill="1" applyBorder="1" applyAlignment="1" applyProtection="1">
      <alignment horizontal="right" vertical="center" wrapText="1"/>
      <protection locked="0"/>
    </xf>
    <xf numFmtId="3" fontId="62" fillId="0" borderId="402" xfId="10" applyNumberFormat="1" applyFont="1" applyFill="1" applyBorder="1" applyAlignment="1" applyProtection="1">
      <alignment vertical="center"/>
      <protection locked="0"/>
    </xf>
    <xf numFmtId="10" fontId="62" fillId="0" borderId="402" xfId="10" applyNumberFormat="1" applyFont="1" applyFill="1" applyBorder="1" applyAlignment="1" applyProtection="1">
      <alignment horizontal="right" vertical="center"/>
      <protection locked="0"/>
    </xf>
    <xf numFmtId="3" fontId="59" fillId="0" borderId="402" xfId="10" applyNumberFormat="1" applyFont="1" applyFill="1" applyBorder="1" applyAlignment="1" applyProtection="1">
      <alignment vertical="center"/>
      <protection locked="0"/>
    </xf>
    <xf numFmtId="49" fontId="59" fillId="10" borderId="40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08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99" xfId="10" applyNumberFormat="1" applyFont="1" applyFill="1" applyBorder="1" applyAlignment="1" applyProtection="1">
      <alignment vertical="center"/>
      <protection locked="0"/>
    </xf>
    <xf numFmtId="3" fontId="59" fillId="0" borderId="396" xfId="10" applyNumberFormat="1" applyFont="1" applyFill="1" applyBorder="1" applyAlignment="1" applyProtection="1">
      <alignment vertical="center"/>
      <protection locked="0"/>
    </xf>
    <xf numFmtId="3" fontId="59" fillId="0" borderId="393" xfId="10" applyNumberFormat="1" applyFont="1" applyFill="1" applyBorder="1" applyAlignment="1" applyProtection="1">
      <alignment vertical="center"/>
      <protection locked="0"/>
    </xf>
    <xf numFmtId="3" fontId="64" fillId="0" borderId="393" xfId="10" applyNumberFormat="1" applyFont="1" applyFill="1" applyBorder="1" applyAlignment="1" applyProtection="1">
      <alignment horizontal="right" vertical="center"/>
      <protection locked="0"/>
    </xf>
    <xf numFmtId="10" fontId="64" fillId="0" borderId="393" xfId="10" applyNumberFormat="1" applyFont="1" applyFill="1" applyBorder="1" applyAlignment="1" applyProtection="1">
      <alignment horizontal="right" vertical="center"/>
      <protection locked="0"/>
    </xf>
    <xf numFmtId="49" fontId="59" fillId="10" borderId="40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10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11" xfId="10" applyNumberFormat="1" applyFont="1" applyFill="1" applyBorder="1" applyAlignment="1" applyProtection="1">
      <alignment horizontal="right" vertical="center"/>
      <protection locked="0"/>
    </xf>
    <xf numFmtId="10" fontId="59" fillId="0" borderId="411" xfId="10" applyNumberFormat="1" applyFont="1" applyFill="1" applyBorder="1" applyAlignment="1" applyProtection="1">
      <alignment horizontal="right" vertical="center"/>
      <protection locked="0"/>
    </xf>
    <xf numFmtId="3" fontId="59" fillId="0" borderId="411" xfId="10" applyNumberFormat="1" applyFont="1" applyFill="1" applyBorder="1" applyAlignment="1" applyProtection="1">
      <alignment vertical="center"/>
      <protection locked="0"/>
    </xf>
    <xf numFmtId="49" fontId="59" fillId="10" borderId="41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13" xfId="10" applyNumberFormat="1" applyFont="1" applyFill="1" applyBorder="1" applyAlignment="1" applyProtection="1">
      <alignment horizontal="left" vertical="center" wrapText="1"/>
      <protection locked="0"/>
    </xf>
    <xf numFmtId="10" fontId="62" fillId="16" borderId="4" xfId="10" applyNumberFormat="1" applyFont="1" applyFill="1" applyBorder="1" applyAlignment="1" applyProtection="1">
      <alignment horizontal="right" vertical="center"/>
      <protection locked="0"/>
    </xf>
    <xf numFmtId="49" fontId="59" fillId="0" borderId="405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14" xfId="10" applyNumberFormat="1" applyFont="1" applyFill="1" applyBorder="1" applyAlignment="1" applyProtection="1">
      <alignment vertical="center"/>
      <protection locked="0"/>
    </xf>
    <xf numFmtId="10" fontId="59" fillId="0" borderId="414" xfId="10" applyNumberFormat="1" applyFont="1" applyFill="1" applyBorder="1" applyAlignment="1" applyProtection="1">
      <alignment horizontal="right" vertical="center"/>
      <protection locked="0"/>
    </xf>
    <xf numFmtId="49" fontId="59" fillId="10" borderId="41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16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19" xfId="10" applyNumberFormat="1" applyFont="1" applyFill="1" applyBorder="1" applyAlignment="1" applyProtection="1">
      <alignment vertical="center"/>
      <protection locked="0"/>
    </xf>
    <xf numFmtId="10" fontId="59" fillId="0" borderId="419" xfId="10" applyNumberFormat="1" applyFont="1" applyFill="1" applyBorder="1" applyAlignment="1" applyProtection="1">
      <alignment horizontal="right" vertical="center"/>
      <protection locked="0"/>
    </xf>
    <xf numFmtId="49" fontId="59" fillId="10" borderId="42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21" xfId="10" applyNumberFormat="1" applyFont="1" applyFill="1" applyBorder="1" applyAlignment="1" applyProtection="1">
      <alignment horizontal="left" vertical="center" wrapText="1"/>
      <protection locked="0"/>
    </xf>
    <xf numFmtId="10" fontId="62" fillId="0" borderId="8" xfId="10" applyNumberFormat="1" applyFont="1" applyFill="1" applyBorder="1" applyAlignment="1" applyProtection="1">
      <alignment horizontal="right" vertical="center"/>
      <protection locked="0"/>
    </xf>
    <xf numFmtId="3" fontId="64" fillId="0" borderId="390" xfId="10" applyNumberFormat="1" applyFont="1" applyFill="1" applyBorder="1" applyAlignment="1" applyProtection="1">
      <alignment horizontal="right" vertical="center"/>
      <protection locked="0"/>
    </xf>
    <xf numFmtId="10" fontId="64" fillId="0" borderId="390" xfId="10" applyNumberFormat="1" applyFont="1" applyFill="1" applyBorder="1" applyAlignment="1" applyProtection="1">
      <alignment horizontal="right" vertical="center"/>
      <protection locked="0"/>
    </xf>
    <xf numFmtId="49" fontId="59" fillId="10" borderId="42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2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25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426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360" xfId="10" applyNumberFormat="1" applyFont="1" applyFill="1" applyBorder="1" applyAlignment="1" applyProtection="1">
      <alignment vertical="center"/>
      <protection locked="0"/>
    </xf>
    <xf numFmtId="3" fontId="64" fillId="0" borderId="354" xfId="10" applyNumberFormat="1" applyFont="1" applyFill="1" applyBorder="1" applyAlignment="1" applyProtection="1">
      <alignment vertical="center"/>
      <protection locked="0"/>
    </xf>
    <xf numFmtId="10" fontId="64" fillId="0" borderId="354" xfId="10" applyNumberFormat="1" applyFont="1" applyFill="1" applyBorder="1" applyAlignment="1" applyProtection="1">
      <alignment horizontal="right" vertical="center"/>
      <protection locked="0"/>
    </xf>
    <xf numFmtId="49" fontId="59" fillId="10" borderId="428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348" xfId="10" applyNumberFormat="1" applyFont="1" applyFill="1" applyBorder="1" applyAlignment="1" applyProtection="1">
      <alignment vertical="center"/>
      <protection locked="0"/>
    </xf>
    <xf numFmtId="49" fontId="59" fillId="10" borderId="429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342" xfId="10" applyNumberFormat="1" applyFont="1" applyFill="1" applyBorder="1" applyAlignment="1" applyProtection="1">
      <alignment vertical="center"/>
      <protection locked="0"/>
    </xf>
    <xf numFmtId="49" fontId="59" fillId="10" borderId="43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3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32" xfId="10" applyNumberFormat="1" applyFont="1" applyFill="1" applyBorder="1" applyAlignment="1" applyProtection="1">
      <alignment horizontal="left" vertical="center" wrapText="1"/>
      <protection locked="0"/>
    </xf>
    <xf numFmtId="10" fontId="59" fillId="0" borderId="433" xfId="10" applyNumberFormat="1" applyFont="1" applyFill="1" applyBorder="1" applyAlignment="1" applyProtection="1">
      <alignment horizontal="right" vertical="center"/>
      <protection locked="0"/>
    </xf>
    <xf numFmtId="49" fontId="59" fillId="10" borderId="43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3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3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3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38" xfId="10" applyNumberFormat="1" applyFont="1" applyFill="1" applyBorder="1" applyAlignment="1" applyProtection="1">
      <alignment vertical="center" wrapText="1"/>
      <protection locked="0"/>
    </xf>
    <xf numFmtId="49" fontId="59" fillId="10" borderId="440" xfId="10" applyNumberFormat="1" applyFont="1" applyFill="1" applyBorder="1" applyAlignment="1" applyProtection="1">
      <alignment vertical="center" wrapText="1"/>
      <protection locked="0"/>
    </xf>
    <xf numFmtId="10" fontId="59" fillId="10" borderId="440" xfId="10" applyNumberFormat="1" applyFont="1" applyFill="1" applyBorder="1" applyAlignment="1" applyProtection="1">
      <alignment horizontal="right" vertical="center" wrapText="1"/>
      <protection locked="0"/>
    </xf>
    <xf numFmtId="3" fontId="59" fillId="0" borderId="440" xfId="10" applyNumberFormat="1" applyFont="1" applyFill="1" applyBorder="1" applyAlignment="1" applyProtection="1">
      <alignment horizontal="right" vertical="center"/>
      <protection locked="0"/>
    </xf>
    <xf numFmtId="10" fontId="59" fillId="0" borderId="440" xfId="10" applyNumberFormat="1" applyFont="1" applyFill="1" applyBorder="1" applyAlignment="1" applyProtection="1">
      <alignment horizontal="right" vertical="center"/>
      <protection locked="0"/>
    </xf>
    <xf numFmtId="49" fontId="59" fillId="0" borderId="255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34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4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4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45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46" xfId="10" applyNumberFormat="1" applyFont="1" applyFill="1" applyBorder="1" applyAlignment="1" applyProtection="1">
      <alignment horizontal="right" vertical="center"/>
      <protection locked="0"/>
    </xf>
    <xf numFmtId="10" fontId="59" fillId="0" borderId="446" xfId="10" applyNumberFormat="1" applyFont="1" applyFill="1" applyBorder="1" applyAlignment="1" applyProtection="1">
      <alignment horizontal="right" vertical="center"/>
      <protection locked="0"/>
    </xf>
    <xf numFmtId="49" fontId="59" fillId="10" borderId="447" xfId="10" applyNumberFormat="1" applyFont="1" applyFill="1" applyBorder="1" applyAlignment="1" applyProtection="1">
      <alignment horizontal="left" vertical="center" wrapText="1"/>
      <protection locked="0"/>
    </xf>
    <xf numFmtId="2" fontId="59" fillId="0" borderId="43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48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450" xfId="10" applyNumberFormat="1" applyFont="1" applyFill="1" applyBorder="1" applyAlignment="1" applyProtection="1">
      <alignment vertical="center"/>
      <protection locked="0"/>
    </xf>
    <xf numFmtId="10" fontId="59" fillId="0" borderId="450" xfId="10" applyNumberFormat="1" applyFont="1" applyFill="1" applyBorder="1" applyAlignment="1" applyProtection="1">
      <alignment horizontal="right" vertical="center"/>
      <protection locked="0"/>
    </xf>
    <xf numFmtId="49" fontId="59" fillId="10" borderId="45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54" xfId="10" applyNumberFormat="1" applyFont="1" applyFill="1" applyBorder="1" applyAlignment="1" applyProtection="1">
      <alignment horizontal="left" vertical="center" wrapText="1"/>
      <protection locked="0"/>
    </xf>
    <xf numFmtId="3" fontId="64" fillId="0" borderId="450" xfId="10" applyNumberFormat="1" applyFont="1" applyFill="1" applyBorder="1" applyAlignment="1" applyProtection="1">
      <alignment horizontal="right" vertical="center"/>
      <protection locked="0"/>
    </xf>
    <xf numFmtId="10" fontId="64" fillId="0" borderId="450" xfId="10" applyNumberFormat="1" applyFont="1" applyFill="1" applyBorder="1" applyAlignment="1" applyProtection="1">
      <alignment horizontal="right" vertical="center"/>
      <protection locked="0"/>
    </xf>
    <xf numFmtId="49" fontId="59" fillId="10" borderId="45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5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5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5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59" xfId="10" applyNumberFormat="1" applyFont="1" applyFill="1" applyBorder="1" applyAlignment="1" applyProtection="1">
      <alignment horizontal="center" vertical="center" wrapText="1"/>
      <protection locked="0"/>
    </xf>
    <xf numFmtId="10" fontId="62" fillId="2" borderId="183" xfId="10" applyNumberFormat="1" applyFont="1" applyFill="1" applyBorder="1" applyAlignment="1" applyProtection="1">
      <alignment horizontal="right" vertical="center"/>
      <protection locked="0"/>
    </xf>
    <xf numFmtId="3" fontId="63" fillId="6" borderId="8" xfId="10" applyNumberFormat="1" applyFont="1" applyFill="1" applyBorder="1" applyAlignment="1" applyProtection="1">
      <alignment horizontal="right" vertical="center"/>
      <protection locked="0"/>
    </xf>
    <xf numFmtId="3" fontId="59" fillId="6" borderId="18" xfId="10" applyNumberFormat="1" applyFont="1" applyFill="1" applyBorder="1" applyAlignment="1" applyProtection="1">
      <alignment horizontal="right" vertical="center"/>
      <protection locked="0"/>
    </xf>
    <xf numFmtId="49" fontId="59" fillId="15" borderId="460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11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6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62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33" xfId="10" applyNumberFormat="1" applyFont="1" applyFill="1" applyBorder="1" applyAlignment="1" applyProtection="1">
      <alignment horizontal="right" vertical="center"/>
      <protection locked="0"/>
    </xf>
    <xf numFmtId="3" fontId="62" fillId="0" borderId="463" xfId="10" applyNumberFormat="1" applyFont="1" applyFill="1" applyBorder="1" applyAlignment="1" applyProtection="1">
      <alignment horizontal="right" vertical="center"/>
      <protection locked="0"/>
    </xf>
    <xf numFmtId="10" fontId="62" fillId="0" borderId="463" xfId="10" applyNumberFormat="1" applyFont="1" applyFill="1" applyBorder="1" applyAlignment="1" applyProtection="1">
      <alignment horizontal="right" vertical="center"/>
      <protection locked="0"/>
    </xf>
    <xf numFmtId="3" fontId="59" fillId="0" borderId="464" xfId="10" applyNumberFormat="1" applyFont="1" applyFill="1" applyBorder="1" applyAlignment="1" applyProtection="1">
      <alignment horizontal="right" vertical="center"/>
      <protection locked="0"/>
    </xf>
    <xf numFmtId="10" fontId="59" fillId="0" borderId="464" xfId="10" applyNumberFormat="1" applyFont="1" applyFill="1" applyBorder="1" applyAlignment="1" applyProtection="1">
      <alignment horizontal="right" vertical="center"/>
      <protection locked="0"/>
    </xf>
    <xf numFmtId="49" fontId="59" fillId="10" borderId="465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66" xfId="10" applyNumberFormat="1" applyFont="1" applyFill="1" applyBorder="1" applyAlignment="1" applyProtection="1">
      <alignment horizontal="right" vertical="center"/>
      <protection locked="0"/>
    </xf>
    <xf numFmtId="10" fontId="59" fillId="0" borderId="466" xfId="10" applyNumberFormat="1" applyFont="1" applyFill="1" applyBorder="1" applyAlignment="1" applyProtection="1">
      <alignment horizontal="right" vertical="center"/>
      <protection locked="0"/>
    </xf>
    <xf numFmtId="3" fontId="62" fillId="0" borderId="467" xfId="10" applyNumberFormat="1" applyFont="1" applyFill="1" applyBorder="1" applyAlignment="1" applyProtection="1">
      <alignment horizontal="right" vertical="center"/>
      <protection locked="0"/>
    </xf>
    <xf numFmtId="10" fontId="62" fillId="0" borderId="467" xfId="10" applyNumberFormat="1" applyFont="1" applyFill="1" applyBorder="1" applyAlignment="1" applyProtection="1">
      <alignment horizontal="right" vertical="center"/>
      <protection locked="0"/>
    </xf>
    <xf numFmtId="3" fontId="59" fillId="0" borderId="468" xfId="10" applyNumberFormat="1" applyFont="1" applyFill="1" applyBorder="1" applyAlignment="1" applyProtection="1">
      <alignment horizontal="right" vertical="center"/>
      <protection locked="0"/>
    </xf>
    <xf numFmtId="10" fontId="59" fillId="0" borderId="468" xfId="10" applyNumberFormat="1" applyFont="1" applyFill="1" applyBorder="1" applyAlignment="1" applyProtection="1">
      <alignment horizontal="right" vertical="center"/>
      <protection locked="0"/>
    </xf>
    <xf numFmtId="49" fontId="59" fillId="10" borderId="46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70" xfId="10" applyNumberFormat="1" applyFont="1" applyFill="1" applyBorder="1" applyAlignment="1" applyProtection="1">
      <alignment horizontal="left" vertical="center" wrapText="1"/>
      <protection locked="0"/>
    </xf>
    <xf numFmtId="10" fontId="59" fillId="0" borderId="121" xfId="10" applyNumberFormat="1" applyFont="1" applyFill="1" applyBorder="1" applyAlignment="1" applyProtection="1">
      <alignment horizontal="right" vertical="center"/>
      <protection locked="0"/>
    </xf>
    <xf numFmtId="10" fontId="63" fillId="14" borderId="122" xfId="10" applyNumberFormat="1" applyFont="1" applyFill="1" applyBorder="1" applyAlignment="1" applyProtection="1">
      <alignment horizontal="right" vertical="center"/>
      <protection locked="0"/>
    </xf>
    <xf numFmtId="10" fontId="62" fillId="0" borderId="123" xfId="10" applyNumberFormat="1" applyFont="1" applyFill="1" applyBorder="1" applyAlignment="1" applyProtection="1">
      <alignment horizontal="right" vertical="center"/>
      <protection locked="0"/>
    </xf>
    <xf numFmtId="3" fontId="59" fillId="0" borderId="471" xfId="10" applyNumberFormat="1" applyFont="1" applyFill="1" applyBorder="1" applyAlignment="1" applyProtection="1">
      <alignment horizontal="right" vertical="center"/>
      <protection locked="0"/>
    </xf>
    <xf numFmtId="10" fontId="59" fillId="0" borderId="471" xfId="10" applyNumberFormat="1" applyFont="1" applyFill="1" applyBorder="1" applyAlignment="1" applyProtection="1">
      <alignment horizontal="right" vertical="center"/>
      <protection locked="0"/>
    </xf>
    <xf numFmtId="10" fontId="62" fillId="0" borderId="124" xfId="10" applyNumberFormat="1" applyFont="1" applyFill="1" applyBorder="1" applyAlignment="1" applyProtection="1">
      <alignment horizontal="right" vertical="center"/>
      <protection locked="0"/>
    </xf>
    <xf numFmtId="49" fontId="59" fillId="10" borderId="47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73" xfId="10" applyNumberFormat="1" applyFont="1" applyFill="1" applyBorder="1" applyAlignment="1" applyProtection="1">
      <alignment horizontal="left" vertical="center" wrapText="1"/>
      <protection locked="0"/>
    </xf>
    <xf numFmtId="3" fontId="62" fillId="0" borderId="468" xfId="10" applyNumberFormat="1" applyFont="1" applyFill="1" applyBorder="1" applyAlignment="1" applyProtection="1">
      <alignment horizontal="right" vertical="center"/>
      <protection locked="0"/>
    </xf>
    <xf numFmtId="10" fontId="62" fillId="0" borderId="468" xfId="10" applyNumberFormat="1" applyFont="1" applyFill="1" applyBorder="1" applyAlignment="1" applyProtection="1">
      <alignment horizontal="right" vertical="center"/>
      <protection locked="0"/>
    </xf>
    <xf numFmtId="10" fontId="62" fillId="2" borderId="122" xfId="10" applyNumberFormat="1" applyFont="1" applyFill="1" applyBorder="1" applyAlignment="1" applyProtection="1">
      <alignment horizontal="right" vertical="center"/>
      <protection locked="0"/>
    </xf>
    <xf numFmtId="10" fontId="63" fillId="14" borderId="44" xfId="10" applyNumberFormat="1" applyFont="1" applyFill="1" applyBorder="1" applyAlignment="1" applyProtection="1">
      <alignment horizontal="right" vertical="center"/>
      <protection locked="0"/>
    </xf>
    <xf numFmtId="49" fontId="59" fillId="10" borderId="476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77" xfId="10" applyNumberFormat="1" applyFont="1" applyFill="1" applyBorder="1" applyAlignment="1" applyProtection="1">
      <alignment horizontal="right" vertical="center"/>
      <protection locked="0"/>
    </xf>
    <xf numFmtId="10" fontId="59" fillId="0" borderId="477" xfId="10" applyNumberFormat="1" applyFont="1" applyFill="1" applyBorder="1" applyAlignment="1" applyProtection="1">
      <alignment horizontal="right" vertical="center"/>
      <protection locked="0"/>
    </xf>
    <xf numFmtId="49" fontId="59" fillId="10" borderId="478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79" xfId="10" applyNumberFormat="1" applyFont="1" applyFill="1" applyBorder="1" applyAlignment="1" applyProtection="1">
      <alignment horizontal="right" vertical="center"/>
      <protection locked="0"/>
    </xf>
    <xf numFmtId="10" fontId="59" fillId="0" borderId="479" xfId="10" applyNumberFormat="1" applyFont="1" applyFill="1" applyBorder="1" applyAlignment="1" applyProtection="1">
      <alignment horizontal="right" vertical="center"/>
      <protection locked="0"/>
    </xf>
    <xf numFmtId="49" fontId="62" fillId="12" borderId="480" xfId="10" applyNumberFormat="1" applyFont="1" applyFill="1" applyBorder="1" applyAlignment="1" applyProtection="1">
      <alignment horizontal="left" vertical="center" wrapText="1"/>
      <protection locked="0"/>
    </xf>
    <xf numFmtId="3" fontId="62" fillId="2" borderId="183" xfId="10" applyNumberFormat="1" applyFont="1" applyFill="1" applyBorder="1" applyAlignment="1" applyProtection="1">
      <alignment horizontal="right" vertical="center"/>
      <protection locked="0"/>
    </xf>
    <xf numFmtId="10" fontId="62" fillId="2" borderId="101" xfId="10" applyNumberFormat="1" applyFont="1" applyFill="1" applyBorder="1" applyAlignment="1" applyProtection="1">
      <alignment horizontal="right" vertical="center"/>
      <protection locked="0"/>
    </xf>
    <xf numFmtId="3" fontId="62" fillId="0" borderId="482" xfId="10" applyNumberFormat="1" applyFont="1" applyFill="1" applyBorder="1" applyAlignment="1" applyProtection="1">
      <alignment horizontal="right" vertical="center"/>
      <protection locked="0"/>
    </xf>
    <xf numFmtId="3" fontId="59" fillId="0" borderId="483" xfId="10" applyNumberFormat="1" applyFont="1" applyFill="1" applyBorder="1" applyAlignment="1" applyProtection="1">
      <alignment horizontal="right" vertical="center"/>
      <protection locked="0"/>
    </xf>
    <xf numFmtId="3" fontId="64" fillId="0" borderId="483" xfId="10" applyNumberFormat="1" applyFont="1" applyFill="1" applyBorder="1" applyAlignment="1" applyProtection="1">
      <alignment horizontal="right" vertical="center"/>
      <protection locked="0"/>
    </xf>
    <xf numFmtId="3" fontId="64" fillId="0" borderId="464" xfId="10" applyNumberFormat="1" applyFont="1" applyFill="1" applyBorder="1" applyAlignment="1" applyProtection="1">
      <alignment horizontal="right" vertical="center"/>
      <protection locked="0"/>
    </xf>
    <xf numFmtId="10" fontId="64" fillId="0" borderId="464" xfId="10" applyNumberFormat="1" applyFont="1" applyFill="1" applyBorder="1" applyAlignment="1" applyProtection="1">
      <alignment horizontal="right" vertical="center"/>
      <protection locked="0"/>
    </xf>
    <xf numFmtId="49" fontId="59" fillId="10" borderId="484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85" xfId="10" applyNumberFormat="1" applyFont="1" applyFill="1" applyBorder="1" applyAlignment="1" applyProtection="1">
      <alignment horizontal="right" vertical="center"/>
      <protection locked="0"/>
    </xf>
    <xf numFmtId="49" fontId="59" fillId="0" borderId="486" xfId="10" applyNumberFormat="1" applyFont="1" applyFill="1" applyBorder="1" applyAlignment="1" applyProtection="1">
      <alignment vertical="center" wrapText="1"/>
      <protection locked="0"/>
    </xf>
    <xf numFmtId="0" fontId="0" fillId="0" borderId="483" xfId="0" applyBorder="1" applyAlignment="1">
      <alignment vertical="center" wrapText="1"/>
    </xf>
    <xf numFmtId="10" fontId="0" fillId="0" borderId="483" xfId="0" applyNumberFormat="1" applyBorder="1" applyAlignment="1">
      <alignment horizontal="right" vertical="center" wrapText="1"/>
    </xf>
    <xf numFmtId="49" fontId="59" fillId="10" borderId="487" xfId="10" applyNumberFormat="1" applyFont="1" applyFill="1" applyBorder="1" applyAlignment="1" applyProtection="1">
      <alignment horizontal="left" vertical="center" wrapText="1"/>
      <protection locked="0"/>
    </xf>
    <xf numFmtId="49" fontId="62" fillId="12" borderId="488" xfId="10" applyNumberFormat="1" applyFont="1" applyFill="1" applyBorder="1" applyAlignment="1" applyProtection="1">
      <alignment horizontal="center" vertical="center" wrapText="1"/>
      <protection locked="0"/>
    </xf>
    <xf numFmtId="49" fontId="62" fillId="12" borderId="489" xfId="10" applyNumberFormat="1" applyFont="1" applyFill="1" applyBorder="1" applyAlignment="1" applyProtection="1">
      <alignment horizontal="left" vertical="center" wrapText="1"/>
      <protection locked="0"/>
    </xf>
    <xf numFmtId="3" fontId="59" fillId="6" borderId="433" xfId="10" applyNumberFormat="1" applyFont="1" applyFill="1" applyBorder="1" applyAlignment="1" applyProtection="1">
      <alignment horizontal="right" vertical="center"/>
      <protection locked="0"/>
    </xf>
    <xf numFmtId="10" fontId="59" fillId="6" borderId="433" xfId="10" applyNumberFormat="1" applyFont="1" applyFill="1" applyBorder="1" applyAlignment="1" applyProtection="1">
      <alignment horizontal="right" vertical="center"/>
      <protection locked="0"/>
    </xf>
    <xf numFmtId="49" fontId="59" fillId="10" borderId="49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6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4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33" xfId="10" applyNumberFormat="1" applyFont="1" applyFill="1" applyBorder="1" applyAlignment="1" applyProtection="1">
      <alignment vertical="center"/>
      <protection locked="0"/>
    </xf>
    <xf numFmtId="49" fontId="59" fillId="10" borderId="491" xfId="10" applyNumberFormat="1" applyFont="1" applyFill="1" applyBorder="1" applyAlignment="1" applyProtection="1">
      <alignment horizontal="center" vertical="center" wrapText="1"/>
      <protection locked="0"/>
    </xf>
    <xf numFmtId="0" fontId="59" fillId="0" borderId="492" xfId="10" applyNumberFormat="1" applyFont="1" applyFill="1" applyBorder="1" applyAlignment="1" applyProtection="1">
      <alignment vertical="center"/>
      <protection locked="0"/>
    </xf>
    <xf numFmtId="0" fontId="59" fillId="0" borderId="433" xfId="10" applyNumberFormat="1" applyFont="1" applyFill="1" applyBorder="1" applyAlignment="1" applyProtection="1">
      <alignment vertical="center"/>
      <protection locked="0"/>
    </xf>
    <xf numFmtId="3" fontId="64" fillId="0" borderId="446" xfId="10" applyNumberFormat="1" applyFont="1" applyFill="1" applyBorder="1" applyAlignment="1" applyProtection="1">
      <alignment horizontal="right" vertical="center"/>
      <protection locked="0"/>
    </xf>
    <xf numFmtId="10" fontId="64" fillId="0" borderId="446" xfId="10" applyNumberFormat="1" applyFont="1" applyFill="1" applyBorder="1" applyAlignment="1" applyProtection="1">
      <alignment horizontal="right" vertical="center"/>
      <protection locked="0"/>
    </xf>
    <xf numFmtId="49" fontId="59" fillId="10" borderId="49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66" xfId="10" applyNumberFormat="1" applyFont="1" applyFill="1" applyBorder="1" applyAlignment="1" applyProtection="1">
      <alignment vertical="center" wrapText="1"/>
      <protection locked="0"/>
    </xf>
    <xf numFmtId="49" fontId="59" fillId="10" borderId="449" xfId="10" applyNumberFormat="1" applyFont="1" applyFill="1" applyBorder="1" applyAlignment="1" applyProtection="1">
      <alignment vertical="center" wrapText="1"/>
      <protection locked="0"/>
    </xf>
    <xf numFmtId="3" fontId="59" fillId="10" borderId="494" xfId="10" applyNumberFormat="1" applyFont="1" applyFill="1" applyBorder="1" applyAlignment="1" applyProtection="1">
      <alignment horizontal="right" vertical="center" wrapText="1"/>
      <protection locked="0"/>
    </xf>
    <xf numFmtId="10" fontId="59" fillId="10" borderId="494" xfId="10" applyNumberFormat="1" applyFont="1" applyFill="1" applyBorder="1" applyAlignment="1" applyProtection="1">
      <alignment horizontal="right" vertical="center" wrapText="1"/>
      <protection locked="0"/>
    </xf>
    <xf numFmtId="3" fontId="59" fillId="10" borderId="440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49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31" xfId="10" applyNumberFormat="1" applyFont="1" applyFill="1" applyBorder="1" applyAlignment="1" applyProtection="1">
      <alignment horizontal="center" vertical="center" wrapText="1"/>
      <protection locked="0"/>
    </xf>
    <xf numFmtId="3" fontId="59" fillId="10" borderId="16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96" xfId="10" applyNumberFormat="1" applyFont="1" applyFill="1" applyBorder="1" applyAlignment="1" applyProtection="1">
      <alignment horizontal="center" vertical="center" wrapText="1"/>
      <protection locked="0"/>
    </xf>
    <xf numFmtId="0" fontId="59" fillId="0" borderId="327" xfId="10" applyNumberFormat="1" applyFont="1" applyFill="1" applyBorder="1" applyAlignment="1" applyProtection="1">
      <alignment horizontal="left" vertical="center"/>
      <protection locked="0"/>
    </xf>
    <xf numFmtId="3" fontId="59" fillId="0" borderId="497" xfId="10" applyNumberFormat="1" applyFont="1" applyFill="1" applyBorder="1" applyAlignment="1" applyProtection="1">
      <alignment vertical="center"/>
      <protection locked="0"/>
    </xf>
    <xf numFmtId="10" fontId="59" fillId="0" borderId="497" xfId="10" applyNumberFormat="1" applyFont="1" applyFill="1" applyBorder="1" applyAlignment="1" applyProtection="1">
      <alignment horizontal="right" vertical="center"/>
      <protection locked="0"/>
    </xf>
    <xf numFmtId="49" fontId="59" fillId="10" borderId="49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9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86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00" xfId="10" applyNumberFormat="1" applyFont="1" applyFill="1" applyBorder="1" applyAlignment="1" applyProtection="1">
      <alignment horizontal="center" vertical="center" wrapText="1"/>
      <protection locked="0"/>
    </xf>
    <xf numFmtId="0" fontId="59" fillId="10" borderId="341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01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42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90" xfId="10" applyNumberFormat="1" applyFont="1" applyFill="1" applyBorder="1" applyAlignment="1" applyProtection="1">
      <alignment vertical="center" wrapText="1"/>
      <protection locked="0"/>
    </xf>
    <xf numFmtId="49" fontId="59" fillId="10" borderId="494" xfId="10" applyNumberFormat="1" applyFont="1" applyFill="1" applyBorder="1" applyAlignment="1" applyProtection="1">
      <alignment vertical="center" wrapText="1"/>
      <protection locked="0"/>
    </xf>
    <xf numFmtId="3" fontId="62" fillId="0" borderId="440" xfId="10" applyNumberFormat="1" applyFont="1" applyFill="1" applyBorder="1" applyAlignment="1" applyProtection="1">
      <alignment horizontal="right" vertical="center"/>
      <protection locked="0"/>
    </xf>
    <xf numFmtId="10" fontId="62" fillId="0" borderId="440" xfId="10" applyNumberFormat="1" applyFont="1" applyFill="1" applyBorder="1" applyAlignment="1" applyProtection="1">
      <alignment horizontal="right" vertical="center"/>
      <protection locked="0"/>
    </xf>
    <xf numFmtId="49" fontId="59" fillId="10" borderId="46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22" xfId="10" applyNumberFormat="1" applyFont="1" applyFill="1" applyBorder="1" applyAlignment="1" applyProtection="1">
      <alignment vertical="center" wrapText="1"/>
      <protection locked="0"/>
    </xf>
    <xf numFmtId="3" fontId="64" fillId="0" borderId="440" xfId="10" applyNumberFormat="1" applyFont="1" applyFill="1" applyBorder="1" applyAlignment="1" applyProtection="1">
      <alignment horizontal="right" vertical="center"/>
      <protection locked="0"/>
    </xf>
    <xf numFmtId="10" fontId="64" fillId="0" borderId="440" xfId="10" applyNumberFormat="1" applyFont="1" applyFill="1" applyBorder="1" applyAlignment="1" applyProtection="1">
      <alignment horizontal="right" vertical="center"/>
      <protection locked="0"/>
    </xf>
    <xf numFmtId="49" fontId="59" fillId="10" borderId="50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04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50" xfId="10" applyNumberFormat="1" applyFont="1" applyFill="1" applyBorder="1" applyAlignment="1" applyProtection="1">
      <alignment horizontal="right" vertical="center"/>
      <protection locked="0"/>
    </xf>
    <xf numFmtId="49" fontId="59" fillId="10" borderId="326" xfId="10" applyNumberFormat="1" applyFont="1" applyFill="1" applyBorder="1" applyAlignment="1" applyProtection="1">
      <alignment vertical="center" wrapText="1"/>
      <protection locked="0"/>
    </xf>
    <xf numFmtId="49" fontId="59" fillId="10" borderId="327" xfId="10" applyNumberFormat="1" applyFont="1" applyFill="1" applyBorder="1" applyAlignment="1" applyProtection="1">
      <alignment vertical="center" wrapText="1"/>
      <protection locked="0"/>
    </xf>
    <xf numFmtId="3" fontId="59" fillId="0" borderId="506" xfId="10" applyNumberFormat="1" applyFont="1" applyFill="1" applyBorder="1" applyAlignment="1" applyProtection="1">
      <alignment horizontal="right" vertical="center"/>
      <protection locked="0"/>
    </xf>
    <xf numFmtId="10" fontId="59" fillId="0" borderId="506" xfId="10" applyNumberFormat="1" applyFont="1" applyFill="1" applyBorder="1" applyAlignment="1" applyProtection="1">
      <alignment horizontal="right" vertical="center"/>
      <protection locked="0"/>
    </xf>
    <xf numFmtId="49" fontId="59" fillId="10" borderId="50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08" xfId="10" applyNumberFormat="1" applyFont="1" applyFill="1" applyBorder="1" applyAlignment="1" applyProtection="1">
      <alignment horizontal="left" vertical="center" wrapText="1"/>
      <protection locked="0"/>
    </xf>
    <xf numFmtId="3" fontId="59" fillId="10" borderId="509" xfId="10" applyNumberFormat="1" applyFont="1" applyFill="1" applyBorder="1" applyAlignment="1" applyProtection="1">
      <alignment horizontal="right" vertical="center" wrapText="1"/>
      <protection locked="0"/>
    </xf>
    <xf numFmtId="3" fontId="59" fillId="15" borderId="509" xfId="10" applyNumberFormat="1" applyFont="1" applyFill="1" applyBorder="1" applyAlignment="1" applyProtection="1">
      <alignment horizontal="right" vertical="center" wrapText="1"/>
      <protection locked="0"/>
    </xf>
    <xf numFmtId="10" fontId="59" fillId="15" borderId="509" xfId="10" applyNumberFormat="1" applyFont="1" applyFill="1" applyBorder="1" applyAlignment="1" applyProtection="1">
      <alignment horizontal="right" vertical="center" wrapText="1"/>
      <protection locked="0"/>
    </xf>
    <xf numFmtId="10" fontId="59" fillId="10" borderId="509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51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11" xfId="10" applyNumberFormat="1" applyFont="1" applyFill="1" applyBorder="1" applyAlignment="1" applyProtection="1">
      <alignment horizontal="left" vertical="center" wrapText="1"/>
      <protection locked="0"/>
    </xf>
    <xf numFmtId="3" fontId="59" fillId="10" borderId="512" xfId="10" applyNumberFormat="1" applyFont="1" applyFill="1" applyBorder="1" applyAlignment="1" applyProtection="1">
      <alignment horizontal="right" vertical="center" wrapText="1"/>
      <protection locked="0"/>
    </xf>
    <xf numFmtId="10" fontId="59" fillId="10" borderId="512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51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14" xfId="10" applyNumberFormat="1" applyFont="1" applyFill="1" applyBorder="1" applyAlignment="1" applyProtection="1">
      <alignment horizontal="left" vertical="center" wrapText="1"/>
      <protection locked="0"/>
    </xf>
    <xf numFmtId="3" fontId="59" fillId="10" borderId="515" xfId="10" applyNumberFormat="1" applyFont="1" applyFill="1" applyBorder="1" applyAlignment="1" applyProtection="1">
      <alignment horizontal="right" vertical="center" wrapText="1"/>
      <protection locked="0"/>
    </xf>
    <xf numFmtId="10" fontId="59" fillId="10" borderId="515" xfId="10" applyNumberFormat="1" applyFont="1" applyFill="1" applyBorder="1" applyAlignment="1" applyProtection="1">
      <alignment horizontal="right" vertical="center" wrapText="1"/>
      <protection locked="0"/>
    </xf>
    <xf numFmtId="3" fontId="62" fillId="0" borderId="509" xfId="10" applyNumberFormat="1" applyFont="1" applyFill="1" applyBorder="1" applyAlignment="1" applyProtection="1">
      <alignment horizontal="right" vertical="center"/>
      <protection locked="0"/>
    </xf>
    <xf numFmtId="10" fontId="62" fillId="0" borderId="509" xfId="10" applyNumberFormat="1" applyFont="1" applyFill="1" applyBorder="1" applyAlignment="1" applyProtection="1">
      <alignment horizontal="right" vertical="center"/>
      <protection locked="0"/>
    </xf>
    <xf numFmtId="49" fontId="59" fillId="10" borderId="51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1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1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20" xfId="10" applyNumberFormat="1" applyFont="1" applyFill="1" applyBorder="1" applyAlignment="1" applyProtection="1">
      <alignment horizontal="right" vertical="center"/>
      <protection locked="0"/>
    </xf>
    <xf numFmtId="49" fontId="59" fillId="10" borderId="52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22" xfId="10" applyNumberFormat="1" applyFont="1" applyFill="1" applyBorder="1" applyAlignment="1" applyProtection="1">
      <alignment horizontal="left" vertical="center" wrapText="1"/>
      <protection locked="0"/>
    </xf>
    <xf numFmtId="10" fontId="59" fillId="0" borderId="520" xfId="10" applyNumberFormat="1" applyFont="1" applyFill="1" applyBorder="1" applyAlignment="1" applyProtection="1">
      <alignment horizontal="right" vertical="center"/>
      <protection locked="0"/>
    </xf>
    <xf numFmtId="3" fontId="64" fillId="0" borderId="520" xfId="10" applyNumberFormat="1" applyFont="1" applyFill="1" applyBorder="1" applyAlignment="1" applyProtection="1">
      <alignment horizontal="right" vertical="center"/>
      <protection locked="0"/>
    </xf>
    <xf numFmtId="49" fontId="59" fillId="10" borderId="52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24" xfId="10" applyNumberFormat="1" applyFont="1" applyFill="1" applyBorder="1" applyAlignment="1" applyProtection="1">
      <alignment horizontal="left" vertical="center" wrapText="1"/>
      <protection locked="0"/>
    </xf>
    <xf numFmtId="10" fontId="64" fillId="0" borderId="520" xfId="10" applyNumberFormat="1" applyFont="1" applyFill="1" applyBorder="1" applyAlignment="1" applyProtection="1">
      <alignment horizontal="right" vertical="center"/>
      <protection locked="0"/>
    </xf>
    <xf numFmtId="49" fontId="59" fillId="10" borderId="525" xfId="10" applyNumberFormat="1" applyFont="1" applyFill="1" applyBorder="1" applyAlignment="1" applyProtection="1">
      <alignment horizontal="center" vertical="center" wrapText="1"/>
      <protection locked="0"/>
    </xf>
    <xf numFmtId="3" fontId="64" fillId="0" borderId="509" xfId="10" applyNumberFormat="1" applyFont="1" applyFill="1" applyBorder="1" applyAlignment="1" applyProtection="1">
      <alignment horizontal="right" vertical="center"/>
      <protection locked="0"/>
    </xf>
    <xf numFmtId="10" fontId="64" fillId="0" borderId="509" xfId="10" applyNumberFormat="1" applyFont="1" applyFill="1" applyBorder="1" applyAlignment="1" applyProtection="1">
      <alignment horizontal="right" vertical="center"/>
      <protection locked="0"/>
    </xf>
    <xf numFmtId="49" fontId="59" fillId="10" borderId="50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26" xfId="10" applyNumberFormat="1" applyFont="1" applyFill="1" applyBorder="1" applyAlignment="1" applyProtection="1">
      <alignment horizontal="left" vertical="center" wrapText="1"/>
      <protection locked="0"/>
    </xf>
    <xf numFmtId="2" fontId="59" fillId="0" borderId="527" xfId="10" applyNumberFormat="1" applyFont="1" applyFill="1" applyBorder="1" applyAlignment="1" applyProtection="1">
      <alignment horizontal="left" vertical="center" wrapText="1"/>
      <protection locked="0"/>
    </xf>
    <xf numFmtId="2" fontId="59" fillId="0" borderId="52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2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2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30" xfId="10" applyNumberFormat="1" applyFont="1" applyFill="1" applyBorder="1" applyAlignment="1" applyProtection="1">
      <alignment vertical="center" wrapText="1"/>
      <protection locked="0"/>
    </xf>
    <xf numFmtId="49" fontId="59" fillId="10" borderId="527" xfId="10" applyNumberFormat="1" applyFont="1" applyFill="1" applyBorder="1" applyAlignment="1" applyProtection="1">
      <alignment vertical="center" wrapText="1"/>
      <protection locked="0"/>
    </xf>
    <xf numFmtId="49" fontId="59" fillId="10" borderId="520" xfId="10" applyNumberFormat="1" applyFont="1" applyFill="1" applyBorder="1" applyAlignment="1" applyProtection="1">
      <alignment vertical="center" wrapText="1"/>
      <protection locked="0"/>
    </xf>
    <xf numFmtId="10" fontId="59" fillId="10" borderId="520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527" xfId="10" applyNumberFormat="1" applyFont="1" applyFill="1" applyBorder="1" applyAlignment="1" applyProtection="1">
      <alignment horizontal="left" vertical="center" wrapText="1"/>
      <protection locked="0"/>
    </xf>
    <xf numFmtId="3" fontId="62" fillId="0" borderId="520" xfId="10" applyNumberFormat="1" applyFont="1" applyFill="1" applyBorder="1" applyAlignment="1" applyProtection="1">
      <alignment horizontal="right" vertical="center"/>
      <protection locked="0"/>
    </xf>
    <xf numFmtId="10" fontId="62" fillId="0" borderId="520" xfId="10" applyNumberFormat="1" applyFont="1" applyFill="1" applyBorder="1" applyAlignment="1" applyProtection="1">
      <alignment horizontal="right" vertical="center"/>
      <protection locked="0"/>
    </xf>
    <xf numFmtId="2" fontId="59" fillId="0" borderId="516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09" xfId="10" applyNumberFormat="1" applyFont="1" applyFill="1" applyBorder="1" applyAlignment="1" applyProtection="1">
      <alignment horizontal="right" vertical="center"/>
      <protection locked="0"/>
    </xf>
    <xf numFmtId="10" fontId="59" fillId="0" borderId="509" xfId="10" applyNumberFormat="1" applyFont="1" applyFill="1" applyBorder="1" applyAlignment="1" applyProtection="1">
      <alignment horizontal="right" vertical="center"/>
      <protection locked="0"/>
    </xf>
    <xf numFmtId="49" fontId="59" fillId="10" borderId="51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16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3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32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34" xfId="10" applyNumberFormat="1" applyFont="1" applyFill="1" applyBorder="1" applyAlignment="1" applyProtection="1">
      <alignment horizontal="right" vertical="center"/>
      <protection locked="0"/>
    </xf>
    <xf numFmtId="10" fontId="59" fillId="0" borderId="534" xfId="10" applyNumberFormat="1" applyFont="1" applyFill="1" applyBorder="1" applyAlignment="1" applyProtection="1">
      <alignment horizontal="right" vertical="center"/>
      <protection locked="0"/>
    </xf>
    <xf numFmtId="3" fontId="64" fillId="0" borderId="534" xfId="10" applyNumberFormat="1" applyFont="1" applyFill="1" applyBorder="1" applyAlignment="1" applyProtection="1">
      <alignment horizontal="right" vertical="center"/>
      <protection locked="0"/>
    </xf>
    <xf numFmtId="10" fontId="64" fillId="0" borderId="534" xfId="10" applyNumberFormat="1" applyFont="1" applyFill="1" applyBorder="1" applyAlignment="1" applyProtection="1">
      <alignment horizontal="right" vertical="center"/>
      <protection locked="0"/>
    </xf>
    <xf numFmtId="49" fontId="59" fillId="10" borderId="53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36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37" xfId="10" applyNumberFormat="1" applyFont="1" applyFill="1" applyBorder="1" applyAlignment="1" applyProtection="1">
      <alignment horizontal="right" vertical="center"/>
      <protection locked="0"/>
    </xf>
    <xf numFmtId="10" fontId="59" fillId="0" borderId="537" xfId="10" applyNumberFormat="1" applyFont="1" applyFill="1" applyBorder="1" applyAlignment="1" applyProtection="1">
      <alignment horizontal="right" vertical="center"/>
      <protection locked="0"/>
    </xf>
    <xf numFmtId="3" fontId="59" fillId="0" borderId="540" xfId="10" applyNumberFormat="1" applyFont="1" applyFill="1" applyBorder="1" applyAlignment="1" applyProtection="1">
      <alignment horizontal="right" vertical="center"/>
      <protection locked="0"/>
    </xf>
    <xf numFmtId="10" fontId="59" fillId="0" borderId="540" xfId="10" applyNumberFormat="1" applyFont="1" applyFill="1" applyBorder="1" applyAlignment="1" applyProtection="1">
      <alignment horizontal="right" vertical="center"/>
      <protection locked="0"/>
    </xf>
    <xf numFmtId="49" fontId="59" fillId="0" borderId="541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516" xfId="10" applyNumberFormat="1" applyFont="1" applyFill="1" applyBorder="1" applyAlignment="1" applyProtection="1">
      <alignment horizontal="left" vertical="center" wrapText="1"/>
      <protection locked="0"/>
    </xf>
    <xf numFmtId="3" fontId="62" fillId="0" borderId="506" xfId="10" applyNumberFormat="1" applyFont="1" applyFill="1" applyBorder="1" applyAlignment="1" applyProtection="1">
      <alignment horizontal="right" vertical="center"/>
      <protection locked="0"/>
    </xf>
    <xf numFmtId="49" fontId="31" fillId="0" borderId="508" xfId="0" applyNumberFormat="1" applyFont="1" applyBorder="1" applyAlignment="1">
      <alignment vertical="center" wrapText="1"/>
    </xf>
    <xf numFmtId="49" fontId="59" fillId="0" borderId="54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29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453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544" xfId="10" applyNumberFormat="1" applyFont="1" applyFill="1" applyBorder="1" applyAlignment="1" applyProtection="1">
      <alignment horizontal="left" vertical="center" wrapText="1"/>
      <protection locked="0"/>
    </xf>
    <xf numFmtId="49" fontId="63" fillId="0" borderId="115" xfId="10" applyNumberFormat="1" applyFont="1" applyFill="1" applyBorder="1" applyAlignment="1" applyProtection="1">
      <alignment horizontal="center" vertical="center" wrapText="1"/>
      <protection locked="0"/>
    </xf>
    <xf numFmtId="49" fontId="63" fillId="0" borderId="317" xfId="10" applyNumberFormat="1" applyFont="1" applyFill="1" applyBorder="1" applyAlignment="1" applyProtection="1">
      <alignment horizontal="center" vertical="center" wrapText="1"/>
      <protection locked="0"/>
    </xf>
    <xf numFmtId="49" fontId="63" fillId="0" borderId="18" xfId="10" applyNumberFormat="1" applyFont="1" applyFill="1" applyBorder="1" applyAlignment="1" applyProtection="1">
      <alignment horizontal="center" vertical="center" wrapText="1"/>
      <protection locked="0"/>
    </xf>
    <xf numFmtId="10" fontId="63" fillId="0" borderId="17" xfId="10" applyNumberFormat="1" applyFont="1" applyFill="1" applyBorder="1" applyAlignment="1" applyProtection="1">
      <alignment horizontal="right" vertical="center" wrapText="1"/>
      <protection locked="0"/>
    </xf>
    <xf numFmtId="3" fontId="62" fillId="0" borderId="540" xfId="10" applyNumberFormat="1" applyFont="1" applyFill="1" applyBorder="1" applyAlignment="1" applyProtection="1">
      <alignment horizontal="right" vertical="center"/>
      <protection locked="0"/>
    </xf>
    <xf numFmtId="10" fontId="62" fillId="0" borderId="540" xfId="10" applyNumberFormat="1" applyFont="1" applyFill="1" applyBorder="1" applyAlignment="1" applyProtection="1">
      <alignment horizontal="right" vertical="center"/>
      <protection locked="0"/>
    </xf>
    <xf numFmtId="49" fontId="59" fillId="10" borderId="54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4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49" xfId="10" applyNumberFormat="1" applyFont="1" applyFill="1" applyBorder="1" applyAlignment="1" applyProtection="1">
      <alignment horizontal="left" vertical="center" wrapText="1"/>
      <protection locked="0"/>
    </xf>
    <xf numFmtId="10" fontId="63" fillId="14" borderId="14" xfId="10" applyNumberFormat="1" applyFont="1" applyFill="1" applyBorder="1" applyAlignment="1" applyProtection="1">
      <alignment horizontal="right" vertical="center"/>
      <protection locked="0"/>
    </xf>
    <xf numFmtId="3" fontId="59" fillId="6" borderId="540" xfId="10" applyNumberFormat="1" applyFont="1" applyFill="1" applyBorder="1" applyAlignment="1" applyProtection="1">
      <alignment horizontal="right" vertical="center"/>
      <protection locked="0"/>
    </xf>
    <xf numFmtId="10" fontId="59" fillId="6" borderId="540" xfId="10" applyNumberFormat="1" applyFont="1" applyFill="1" applyBorder="1" applyAlignment="1" applyProtection="1">
      <alignment horizontal="right" vertical="center"/>
      <protection locked="0"/>
    </xf>
    <xf numFmtId="49" fontId="59" fillId="15" borderId="551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550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53" xfId="10" applyNumberFormat="1" applyFont="1" applyFill="1" applyBorder="1" applyAlignment="1" applyProtection="1">
      <alignment horizontal="right" vertical="center"/>
      <protection locked="0"/>
    </xf>
    <xf numFmtId="10" fontId="59" fillId="0" borderId="553" xfId="10" applyNumberFormat="1" applyFont="1" applyFill="1" applyBorder="1" applyAlignment="1" applyProtection="1">
      <alignment horizontal="right" vertical="center"/>
      <protection locked="0"/>
    </xf>
    <xf numFmtId="49" fontId="59" fillId="10" borderId="55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55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56" xfId="10" applyNumberFormat="1" applyFont="1" applyFill="1" applyBorder="1" applyAlignment="1" applyProtection="1">
      <alignment horizontal="right" vertical="center"/>
      <protection locked="0"/>
    </xf>
    <xf numFmtId="10" fontId="59" fillId="0" borderId="556" xfId="10" applyNumberFormat="1" applyFont="1" applyFill="1" applyBorder="1" applyAlignment="1" applyProtection="1">
      <alignment horizontal="right" vertical="center"/>
      <protection locked="0"/>
    </xf>
    <xf numFmtId="3" fontId="59" fillId="6" borderId="534" xfId="10" applyNumberFormat="1" applyFont="1" applyFill="1" applyBorder="1" applyAlignment="1" applyProtection="1">
      <alignment horizontal="right" vertical="center"/>
      <protection locked="0"/>
    </xf>
    <xf numFmtId="10" fontId="59" fillId="6" borderId="534" xfId="10" applyNumberFormat="1" applyFont="1" applyFill="1" applyBorder="1" applyAlignment="1" applyProtection="1">
      <alignment horizontal="right" vertical="center"/>
      <protection locked="0"/>
    </xf>
    <xf numFmtId="49" fontId="59" fillId="10" borderId="55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5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5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5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60" xfId="10" applyNumberFormat="1" applyFont="1" applyFill="1" applyBorder="1" applyAlignment="1" applyProtection="1">
      <alignment horizontal="right" vertical="center"/>
      <protection locked="0"/>
    </xf>
    <xf numFmtId="10" fontId="59" fillId="0" borderId="560" xfId="10" applyNumberFormat="1" applyFont="1" applyFill="1" applyBorder="1" applyAlignment="1" applyProtection="1">
      <alignment horizontal="right" vertical="center"/>
      <protection locked="0"/>
    </xf>
    <xf numFmtId="49" fontId="59" fillId="10" borderId="56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6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63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65" xfId="10" applyNumberFormat="1" applyFont="1" applyFill="1" applyBorder="1" applyAlignment="1" applyProtection="1">
      <alignment horizontal="right" vertical="center"/>
      <protection locked="0"/>
    </xf>
    <xf numFmtId="10" fontId="59" fillId="0" borderId="565" xfId="10" applyNumberFormat="1" applyFont="1" applyFill="1" applyBorder="1" applyAlignment="1" applyProtection="1">
      <alignment horizontal="right" vertical="center"/>
      <protection locked="0"/>
    </xf>
    <xf numFmtId="49" fontId="59" fillId="10" borderId="56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6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7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71" xfId="10" applyNumberFormat="1" applyFont="1" applyFill="1" applyBorder="1" applyAlignment="1" applyProtection="1">
      <alignment horizontal="left" vertical="center" wrapText="1"/>
      <protection locked="0"/>
    </xf>
    <xf numFmtId="10" fontId="62" fillId="0" borderId="17" xfId="10" applyNumberFormat="1" applyFont="1" applyFill="1" applyBorder="1" applyAlignment="1" applyProtection="1">
      <alignment horizontal="right" vertical="center"/>
      <protection locked="0"/>
    </xf>
    <xf numFmtId="49" fontId="59" fillId="10" borderId="57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7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74" xfId="10" applyNumberFormat="1" applyFont="1" applyFill="1" applyBorder="1" applyAlignment="1" applyProtection="1">
      <alignment vertical="center" wrapText="1"/>
      <protection locked="0"/>
    </xf>
    <xf numFmtId="49" fontId="59" fillId="10" borderId="575" xfId="10" applyNumberFormat="1" applyFont="1" applyFill="1" applyBorder="1" applyAlignment="1" applyProtection="1">
      <alignment vertical="center" wrapText="1"/>
      <protection locked="0"/>
    </xf>
    <xf numFmtId="49" fontId="59" fillId="10" borderId="534" xfId="10" applyNumberFormat="1" applyFont="1" applyFill="1" applyBorder="1" applyAlignment="1" applyProtection="1">
      <alignment vertical="center" wrapText="1"/>
      <protection locked="0"/>
    </xf>
    <xf numFmtId="10" fontId="59" fillId="10" borderId="534" xfId="10" applyNumberFormat="1" applyFont="1" applyFill="1" applyBorder="1" applyAlignment="1" applyProtection="1">
      <alignment horizontal="right" vertical="center" wrapText="1"/>
      <protection locked="0"/>
    </xf>
    <xf numFmtId="49" fontId="63" fillId="13" borderId="551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557" xfId="10" applyNumberFormat="1" applyFont="1" applyFill="1" applyBorder="1" applyAlignment="1" applyProtection="1">
      <alignment horizontal="left" vertical="center" wrapText="1"/>
      <protection locked="0"/>
    </xf>
    <xf numFmtId="3" fontId="63" fillId="14" borderId="534" xfId="10" applyNumberFormat="1" applyFont="1" applyFill="1" applyBorder="1" applyAlignment="1" applyProtection="1">
      <alignment horizontal="right" vertical="center"/>
      <protection locked="0"/>
    </xf>
    <xf numFmtId="10" fontId="63" fillId="14" borderId="534" xfId="10" applyNumberFormat="1" applyFont="1" applyFill="1" applyBorder="1" applyAlignment="1" applyProtection="1">
      <alignment horizontal="right" vertical="center"/>
      <protection locked="0"/>
    </xf>
    <xf numFmtId="3" fontId="62" fillId="0" borderId="534" xfId="10" applyNumberFormat="1" applyFont="1" applyFill="1" applyBorder="1" applyAlignment="1" applyProtection="1">
      <alignment horizontal="right" vertical="center"/>
      <protection locked="0"/>
    </xf>
    <xf numFmtId="10" fontId="62" fillId="0" borderId="534" xfId="10" applyNumberFormat="1" applyFont="1" applyFill="1" applyBorder="1" applyAlignment="1" applyProtection="1">
      <alignment horizontal="right" vertical="center"/>
      <protection locked="0"/>
    </xf>
    <xf numFmtId="49" fontId="59" fillId="10" borderId="57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52" xfId="10" applyNumberFormat="1" applyFont="1" applyFill="1" applyBorder="1" applyAlignment="1" applyProtection="1">
      <alignment horizontal="left" vertical="center" wrapText="1"/>
      <protection locked="0"/>
    </xf>
    <xf numFmtId="10" fontId="59" fillId="0" borderId="19" xfId="10" applyNumberFormat="1" applyFont="1" applyFill="1" applyBorder="1" applyAlignment="1" applyProtection="1">
      <alignment horizontal="right" vertical="center"/>
      <protection locked="0"/>
    </xf>
    <xf numFmtId="2" fontId="59" fillId="0" borderId="31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7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7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50" xfId="10" applyNumberFormat="1" applyFont="1" applyFill="1" applyBorder="1" applyAlignment="1" applyProtection="1">
      <alignment horizontal="center" vertical="center" wrapText="1"/>
      <protection locked="0"/>
    </xf>
    <xf numFmtId="10" fontId="59" fillId="0" borderId="17" xfId="10" applyNumberFormat="1" applyFont="1" applyFill="1" applyBorder="1" applyAlignment="1" applyProtection="1">
      <alignment horizontal="right" vertical="center" wrapText="1"/>
      <protection locked="0"/>
    </xf>
    <xf numFmtId="49" fontId="59" fillId="0" borderId="576" xfId="10" applyNumberFormat="1" applyFont="1" applyFill="1" applyBorder="1" applyAlignment="1" applyProtection="1">
      <alignment horizontal="center" vertical="center" wrapText="1"/>
      <protection locked="0"/>
    </xf>
    <xf numFmtId="49" fontId="31" fillId="15" borderId="55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7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8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8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7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52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18" xfId="10" applyNumberFormat="1" applyFont="1" applyFill="1" applyBorder="1" applyAlignment="1" applyProtection="1">
      <alignment vertical="center" wrapText="1"/>
      <protection locked="0"/>
    </xf>
    <xf numFmtId="49" fontId="59" fillId="10" borderId="582" xfId="10" applyNumberFormat="1" applyFont="1" applyFill="1" applyBorder="1" applyAlignment="1" applyProtection="1">
      <alignment horizontal="center" vertical="center" wrapText="1"/>
      <protection locked="0"/>
    </xf>
    <xf numFmtId="2" fontId="59" fillId="0" borderId="55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83" xfId="10" applyNumberFormat="1" applyFont="1" applyFill="1" applyBorder="1" applyAlignment="1" applyProtection="1">
      <alignment horizontal="right" vertical="center"/>
      <protection locked="0"/>
    </xf>
    <xf numFmtId="10" fontId="59" fillId="0" borderId="584" xfId="10" applyNumberFormat="1" applyFont="1" applyFill="1" applyBorder="1" applyAlignment="1" applyProtection="1">
      <alignment horizontal="right" vertical="center"/>
      <protection locked="0"/>
    </xf>
    <xf numFmtId="3" fontId="59" fillId="0" borderId="578" xfId="10" applyNumberFormat="1" applyFont="1" applyFill="1" applyBorder="1" applyAlignment="1" applyProtection="1">
      <alignment horizontal="right" vertical="center"/>
      <protection locked="0"/>
    </xf>
    <xf numFmtId="10" fontId="59" fillId="0" borderId="588" xfId="10" applyNumberFormat="1" applyFont="1" applyFill="1" applyBorder="1" applyAlignment="1" applyProtection="1">
      <alignment horizontal="right" vertical="center"/>
      <protection locked="0"/>
    </xf>
    <xf numFmtId="49" fontId="59" fillId="10" borderId="58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88" xfId="10" applyNumberFormat="1" applyFont="1" applyFill="1" applyBorder="1" applyAlignment="1" applyProtection="1">
      <alignment horizontal="right" vertical="center"/>
      <protection locked="0"/>
    </xf>
    <xf numFmtId="49" fontId="59" fillId="10" borderId="59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91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77" xfId="10" applyNumberFormat="1" applyFont="1" applyFill="1" applyBorder="1" applyAlignment="1" applyProtection="1">
      <alignment horizontal="right" vertical="center"/>
      <protection locked="0"/>
    </xf>
    <xf numFmtId="3" fontId="59" fillId="0" borderId="592" xfId="10" applyNumberFormat="1" applyFont="1" applyFill="1" applyBorder="1" applyAlignment="1" applyProtection="1">
      <alignment horizontal="right" vertical="center"/>
      <protection locked="0"/>
    </xf>
    <xf numFmtId="10" fontId="59" fillId="0" borderId="592" xfId="10" applyNumberFormat="1" applyFont="1" applyFill="1" applyBorder="1" applyAlignment="1" applyProtection="1">
      <alignment horizontal="right" vertical="center"/>
      <protection locked="0"/>
    </xf>
    <xf numFmtId="49" fontId="59" fillId="10" borderId="593" xfId="10" applyNumberFormat="1" applyFont="1" applyFill="1" applyBorder="1" applyAlignment="1" applyProtection="1">
      <alignment horizontal="left" vertical="center" wrapText="1"/>
      <protection locked="0"/>
    </xf>
    <xf numFmtId="10" fontId="59" fillId="0" borderId="577" xfId="10" applyNumberFormat="1" applyFont="1" applyFill="1" applyBorder="1" applyAlignment="1" applyProtection="1">
      <alignment horizontal="right" vertical="center"/>
      <protection locked="0"/>
    </xf>
    <xf numFmtId="49" fontId="59" fillId="10" borderId="594" xfId="10" applyNumberFormat="1" applyFont="1" applyFill="1" applyBorder="1" applyAlignment="1" applyProtection="1">
      <alignment horizontal="center" vertical="center" wrapText="1"/>
      <protection locked="0"/>
    </xf>
    <xf numFmtId="10" fontId="59" fillId="0" borderId="578" xfId="10" applyNumberFormat="1" applyFont="1" applyFill="1" applyBorder="1" applyAlignment="1" applyProtection="1">
      <alignment horizontal="right" vertical="center"/>
      <protection locked="0"/>
    </xf>
    <xf numFmtId="49" fontId="59" fillId="10" borderId="59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97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87" xfId="10" applyNumberFormat="1" applyFont="1" applyFill="1" applyBorder="1" applyAlignment="1" applyProtection="1">
      <alignment horizontal="right" vertical="center"/>
      <protection locked="0"/>
    </xf>
    <xf numFmtId="3" fontId="59" fillId="0" borderId="537" xfId="10" applyNumberFormat="1" applyFont="1" applyFill="1" applyBorder="1" applyAlignment="1" applyProtection="1">
      <alignment vertical="center"/>
      <protection locked="0"/>
    </xf>
    <xf numFmtId="3" fontId="64" fillId="0" borderId="534" xfId="10" applyNumberFormat="1" applyFont="1" applyFill="1" applyBorder="1" applyAlignment="1" applyProtection="1">
      <alignment vertical="center"/>
      <protection locked="0"/>
    </xf>
    <xf numFmtId="3" fontId="59" fillId="0" borderId="534" xfId="10" applyNumberFormat="1" applyFont="1" applyFill="1" applyBorder="1" applyAlignment="1" applyProtection="1">
      <alignment vertical="center"/>
      <protection locked="0"/>
    </xf>
    <xf numFmtId="49" fontId="59" fillId="10" borderId="60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0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0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0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50" xfId="10" applyNumberFormat="1" applyFont="1" applyFill="1" applyBorder="1" applyAlignment="1" applyProtection="1">
      <alignment horizontal="left" vertical="center" wrapText="1"/>
      <protection locked="0"/>
    </xf>
    <xf numFmtId="0" fontId="31" fillId="0" borderId="579" xfId="0" applyFont="1" applyBorder="1" applyAlignment="1">
      <alignment horizontal="left" vertical="center" wrapText="1"/>
    </xf>
    <xf numFmtId="2" fontId="59" fillId="0" borderId="603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604" xfId="10" applyNumberFormat="1" applyFont="1" applyFill="1" applyBorder="1" applyAlignment="1" applyProtection="1">
      <alignment horizontal="right" vertical="center"/>
      <protection locked="0"/>
    </xf>
    <xf numFmtId="10" fontId="59" fillId="0" borderId="604" xfId="10" applyNumberFormat="1" applyFont="1" applyFill="1" applyBorder="1" applyAlignment="1" applyProtection="1">
      <alignment horizontal="right" vertical="center"/>
      <protection locked="0"/>
    </xf>
    <xf numFmtId="49" fontId="59" fillId="10" borderId="60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06" xfId="10" applyNumberFormat="1" applyFont="1" applyFill="1" applyBorder="1" applyAlignment="1" applyProtection="1">
      <alignment horizontal="center" vertical="center" wrapText="1"/>
      <protection locked="0"/>
    </xf>
    <xf numFmtId="3" fontId="62" fillId="0" borderId="604" xfId="10" applyNumberFormat="1" applyFont="1" applyFill="1" applyBorder="1" applyAlignment="1" applyProtection="1">
      <alignment horizontal="right" vertical="center"/>
      <protection locked="0"/>
    </xf>
    <xf numFmtId="10" fontId="62" fillId="0" borderId="604" xfId="10" applyNumberFormat="1" applyFont="1" applyFill="1" applyBorder="1" applyAlignment="1" applyProtection="1">
      <alignment horizontal="right" vertical="center"/>
      <protection locked="0"/>
    </xf>
    <xf numFmtId="49" fontId="59" fillId="15" borderId="581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317" xfId="10" applyNumberFormat="1" applyFont="1" applyFill="1" applyBorder="1" applyAlignment="1" applyProtection="1">
      <alignment horizontal="left" vertical="center" wrapText="1"/>
      <protection locked="0"/>
    </xf>
    <xf numFmtId="49" fontId="63" fillId="15" borderId="115" xfId="10" applyNumberFormat="1" applyFont="1" applyFill="1" applyBorder="1" applyAlignment="1" applyProtection="1">
      <alignment horizontal="center" vertical="center" wrapText="1"/>
      <protection locked="0"/>
    </xf>
    <xf numFmtId="49" fontId="63" fillId="15" borderId="317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609" xfId="10" applyNumberFormat="1" applyFont="1" applyFill="1" applyBorder="1" applyAlignment="1" applyProtection="1">
      <alignment horizontal="right" vertical="center"/>
      <protection locked="0"/>
    </xf>
    <xf numFmtId="10" fontId="59" fillId="0" borderId="609" xfId="10" applyNumberFormat="1" applyFont="1" applyFill="1" applyBorder="1" applyAlignment="1" applyProtection="1">
      <alignment horizontal="right" vertical="center"/>
      <protection locked="0"/>
    </xf>
    <xf numFmtId="49" fontId="59" fillId="10" borderId="552" xfId="10" applyNumberFormat="1" applyFont="1" applyFill="1" applyBorder="1" applyAlignment="1" applyProtection="1">
      <alignment vertical="center" wrapText="1"/>
      <protection locked="0"/>
    </xf>
    <xf numFmtId="49" fontId="59" fillId="10" borderId="584" xfId="10" applyNumberFormat="1" applyFont="1" applyFill="1" applyBorder="1" applyAlignment="1" applyProtection="1">
      <alignment vertical="center" wrapText="1"/>
      <protection locked="0"/>
    </xf>
    <xf numFmtId="10" fontId="59" fillId="10" borderId="584" xfId="10" applyNumberFormat="1" applyFont="1" applyFill="1" applyBorder="1" applyAlignment="1" applyProtection="1">
      <alignment horizontal="right" vertical="center" wrapText="1"/>
      <protection locked="0"/>
    </xf>
    <xf numFmtId="10" fontId="63" fillId="14" borderId="19" xfId="10" applyNumberFormat="1" applyFont="1" applyFill="1" applyBorder="1" applyAlignment="1" applyProtection="1">
      <alignment horizontal="right" vertical="center"/>
      <protection locked="0"/>
    </xf>
    <xf numFmtId="10" fontId="59" fillId="0" borderId="8" xfId="10" applyNumberFormat="1" applyFont="1" applyFill="1" applyBorder="1" applyAlignment="1" applyProtection="1">
      <alignment horizontal="right" vertical="center"/>
      <protection locked="0"/>
    </xf>
    <xf numFmtId="49" fontId="59" fillId="10" borderId="57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1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11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612" xfId="10" applyNumberFormat="1" applyFont="1" applyFill="1" applyBorder="1" applyAlignment="1" applyProtection="1">
      <alignment horizontal="right" vertical="center"/>
      <protection locked="0"/>
    </xf>
    <xf numFmtId="49" fontId="62" fillId="11" borderId="185" xfId="10" applyNumberFormat="1" applyFont="1" applyFill="1" applyBorder="1" applyAlignment="1" applyProtection="1">
      <alignment horizontal="center" vertical="center" wrapText="1"/>
      <protection locked="0"/>
    </xf>
    <xf numFmtId="49" fontId="62" fillId="11" borderId="186" xfId="10" applyNumberFormat="1" applyFont="1" applyFill="1" applyBorder="1" applyAlignment="1" applyProtection="1">
      <alignment horizontal="left" vertical="center" wrapText="1"/>
      <protection locked="0"/>
    </xf>
    <xf numFmtId="3" fontId="62" fillId="3" borderId="613" xfId="10" applyNumberFormat="1" applyFont="1" applyFill="1" applyBorder="1" applyAlignment="1" applyProtection="1">
      <alignment horizontal="right" vertical="center"/>
      <protection locked="0"/>
    </xf>
    <xf numFmtId="10" fontId="62" fillId="3" borderId="183" xfId="10" applyNumberFormat="1" applyFont="1" applyFill="1" applyBorder="1" applyAlignment="1" applyProtection="1">
      <alignment horizontal="right" vertical="center"/>
      <protection locked="0"/>
    </xf>
    <xf numFmtId="3" fontId="59" fillId="0" borderId="574" xfId="10" applyNumberFormat="1" applyFont="1" applyFill="1" applyBorder="1" applyAlignment="1" applyProtection="1">
      <alignment horizontal="right" vertical="center"/>
      <protection locked="0"/>
    </xf>
    <xf numFmtId="3" fontId="59" fillId="0" borderId="614" xfId="10" applyNumberFormat="1" applyFont="1" applyFill="1" applyBorder="1" applyAlignment="1" applyProtection="1">
      <alignment horizontal="right" vertical="center"/>
      <protection locked="0"/>
    </xf>
    <xf numFmtId="10" fontId="59" fillId="0" borderId="614" xfId="10" applyNumberFormat="1" applyFont="1" applyFill="1" applyBorder="1" applyAlignment="1" applyProtection="1">
      <alignment horizontal="right" vertical="center"/>
      <protection locked="0"/>
    </xf>
    <xf numFmtId="10" fontId="59" fillId="6" borderId="121" xfId="10" applyNumberFormat="1" applyFont="1" applyFill="1" applyBorder="1" applyAlignment="1" applyProtection="1">
      <alignment horizontal="right" vertical="center"/>
      <protection locked="0"/>
    </xf>
    <xf numFmtId="3" fontId="59" fillId="0" borderId="615" xfId="10" applyNumberFormat="1" applyFont="1" applyFill="1" applyBorder="1" applyAlignment="1" applyProtection="1">
      <alignment horizontal="right" vertical="center"/>
      <protection locked="0"/>
    </xf>
    <xf numFmtId="10" fontId="59" fillId="0" borderId="615" xfId="10" applyNumberFormat="1" applyFont="1" applyFill="1" applyBorder="1" applyAlignment="1" applyProtection="1">
      <alignment horizontal="right" vertical="center"/>
      <protection locked="0"/>
    </xf>
    <xf numFmtId="3" fontId="64" fillId="0" borderId="615" xfId="10" applyNumberFormat="1" applyFont="1" applyFill="1" applyBorder="1" applyAlignment="1" applyProtection="1">
      <alignment horizontal="right" vertical="center"/>
      <protection locked="0"/>
    </xf>
    <xf numFmtId="10" fontId="64" fillId="0" borderId="615" xfId="10" applyNumberFormat="1" applyFont="1" applyFill="1" applyBorder="1" applyAlignment="1" applyProtection="1">
      <alignment horizontal="right" vertical="center"/>
      <protection locked="0"/>
    </xf>
    <xf numFmtId="49" fontId="59" fillId="0" borderId="581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575" xfId="10" applyNumberFormat="1" applyFont="1" applyFill="1" applyBorder="1" applyAlignment="1" applyProtection="1">
      <alignment horizontal="left" vertical="center" wrapText="1"/>
      <protection locked="0"/>
    </xf>
    <xf numFmtId="10" fontId="59" fillId="0" borderId="124" xfId="10" applyNumberFormat="1" applyFont="1" applyFill="1" applyBorder="1" applyAlignment="1" applyProtection="1">
      <alignment horizontal="right" vertical="center"/>
      <protection locked="0"/>
    </xf>
    <xf numFmtId="49" fontId="59" fillId="10" borderId="616" xfId="10" applyNumberFormat="1" applyFont="1" applyFill="1" applyBorder="1" applyAlignment="1" applyProtection="1">
      <alignment horizontal="center" vertical="center" wrapText="1"/>
      <protection locked="0"/>
    </xf>
    <xf numFmtId="10" fontId="63" fillId="14" borderId="131" xfId="10" applyNumberFormat="1" applyFont="1" applyFill="1" applyBorder="1" applyAlignment="1" applyProtection="1">
      <alignment horizontal="right" vertical="center"/>
      <protection locked="0"/>
    </xf>
    <xf numFmtId="49" fontId="59" fillId="0" borderId="551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557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52" xfId="10" applyNumberFormat="1" applyFont="1" applyFill="1" applyBorder="1" applyAlignment="1" applyProtection="1">
      <alignment horizontal="left" vertical="center" wrapText="1"/>
      <protection locked="0"/>
    </xf>
    <xf numFmtId="3" fontId="64" fillId="0" borderId="614" xfId="10" applyNumberFormat="1" applyFont="1" applyFill="1" applyBorder="1" applyAlignment="1" applyProtection="1">
      <alignment horizontal="right" vertical="center"/>
      <protection locked="0"/>
    </xf>
    <xf numFmtId="10" fontId="64" fillId="0" borderId="614" xfId="10" applyNumberFormat="1" applyFont="1" applyFill="1" applyBorder="1" applyAlignment="1" applyProtection="1">
      <alignment horizontal="right" vertical="center"/>
      <protection locked="0"/>
    </xf>
    <xf numFmtId="10" fontId="59" fillId="0" borderId="618" xfId="10" applyNumberFormat="1" applyFont="1" applyFill="1" applyBorder="1" applyAlignment="1" applyProtection="1">
      <alignment horizontal="right" vertical="center"/>
      <protection locked="0"/>
    </xf>
    <xf numFmtId="10" fontId="59" fillId="0" borderId="619" xfId="10" applyNumberFormat="1" applyFont="1" applyFill="1" applyBorder="1" applyAlignment="1" applyProtection="1">
      <alignment horizontal="right" vertical="center"/>
      <protection locked="0"/>
    </xf>
    <xf numFmtId="10" fontId="59" fillId="0" borderId="620" xfId="10" applyNumberFormat="1" applyFont="1" applyFill="1" applyBorder="1" applyAlignment="1" applyProtection="1">
      <alignment horizontal="right" vertical="center"/>
      <protection locked="0"/>
    </xf>
    <xf numFmtId="10" fontId="59" fillId="0" borderId="621" xfId="10" applyNumberFormat="1" applyFont="1" applyFill="1" applyBorder="1" applyAlignment="1" applyProtection="1">
      <alignment horizontal="right" vertical="center"/>
      <protection locked="0"/>
    </xf>
    <xf numFmtId="10" fontId="63" fillId="14" borderId="132" xfId="10" applyNumberFormat="1" applyFont="1" applyFill="1" applyBorder="1" applyAlignment="1" applyProtection="1">
      <alignment horizontal="right" vertical="center"/>
      <protection locked="0"/>
    </xf>
    <xf numFmtId="3" fontId="59" fillId="0" borderId="623" xfId="10" applyNumberFormat="1" applyFont="1" applyFill="1" applyBorder="1" applyAlignment="1" applyProtection="1">
      <alignment horizontal="right" vertical="center"/>
      <protection locked="0"/>
    </xf>
    <xf numFmtId="10" fontId="59" fillId="0" borderId="623" xfId="10" applyNumberFormat="1" applyFont="1" applyFill="1" applyBorder="1" applyAlignment="1" applyProtection="1">
      <alignment horizontal="right" vertical="center"/>
      <protection locked="0"/>
    </xf>
    <xf numFmtId="49" fontId="59" fillId="0" borderId="598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84" xfId="10" applyNumberFormat="1" applyFont="1" applyFill="1" applyBorder="1" applyAlignment="1" applyProtection="1">
      <alignment horizontal="right" vertical="center"/>
      <protection locked="0"/>
    </xf>
    <xf numFmtId="10" fontId="62" fillId="2" borderId="17" xfId="10" applyNumberFormat="1" applyFont="1" applyFill="1" applyBorder="1" applyAlignment="1" applyProtection="1">
      <alignment horizontal="right" vertical="center"/>
      <protection locked="0"/>
    </xf>
    <xf numFmtId="49" fontId="31" fillId="0" borderId="555" xfId="0" applyNumberFormat="1" applyFont="1" applyBorder="1" applyAlignment="1">
      <alignment vertical="center" wrapText="1"/>
    </xf>
    <xf numFmtId="49" fontId="31" fillId="0" borderId="557" xfId="0" applyNumberFormat="1" applyFont="1" applyBorder="1" applyAlignment="1">
      <alignment vertical="center" wrapText="1"/>
    </xf>
    <xf numFmtId="49" fontId="31" fillId="0" borderId="207" xfId="0" applyNumberFormat="1" applyFont="1" applyBorder="1" applyAlignment="1">
      <alignment vertical="center" wrapText="1"/>
    </xf>
    <xf numFmtId="49" fontId="59" fillId="10" borderId="624" xfId="10" applyNumberFormat="1" applyFont="1" applyFill="1" applyBorder="1" applyAlignment="1" applyProtection="1">
      <alignment horizontal="center" vertical="center" wrapText="1"/>
      <protection locked="0"/>
    </xf>
    <xf numFmtId="49" fontId="31" fillId="0" borderId="625" xfId="0" applyNumberFormat="1" applyFont="1" applyBorder="1" applyAlignment="1">
      <alignment vertical="center" wrapText="1"/>
    </xf>
    <xf numFmtId="49" fontId="59" fillId="10" borderId="626" xfId="10" applyNumberFormat="1" applyFont="1" applyFill="1" applyBorder="1" applyAlignment="1" applyProtection="1">
      <alignment horizontal="center" vertical="center" wrapText="1"/>
      <protection locked="0"/>
    </xf>
    <xf numFmtId="49" fontId="31" fillId="0" borderId="627" xfId="0" applyNumberFormat="1" applyFont="1" applyBorder="1" applyAlignment="1">
      <alignment vertical="center" wrapText="1"/>
    </xf>
    <xf numFmtId="49" fontId="31" fillId="0" borderId="449" xfId="0" applyNumberFormat="1" applyFont="1" applyBorder="1" applyAlignment="1">
      <alignment vertical="center" wrapText="1"/>
    </xf>
    <xf numFmtId="3" fontId="31" fillId="6" borderId="556" xfId="10" applyNumberFormat="1" applyFont="1" applyFill="1" applyBorder="1" applyAlignment="1" applyProtection="1">
      <alignment horizontal="right" vertical="center"/>
      <protection locked="0"/>
    </xf>
    <xf numFmtId="10" fontId="31" fillId="6" borderId="556" xfId="10" applyNumberFormat="1" applyFont="1" applyFill="1" applyBorder="1" applyAlignment="1" applyProtection="1">
      <alignment horizontal="right" vertical="center"/>
      <protection locked="0"/>
    </xf>
    <xf numFmtId="49" fontId="31" fillId="0" borderId="629" xfId="0" applyNumberFormat="1" applyFont="1" applyBorder="1" applyAlignment="1">
      <alignment vertical="center" wrapText="1"/>
    </xf>
    <xf numFmtId="49" fontId="59" fillId="0" borderId="631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63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3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3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3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35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636" xfId="10" applyNumberFormat="1" applyFont="1" applyFill="1" applyBorder="1" applyAlignment="1" applyProtection="1">
      <alignment horizontal="right" vertical="center"/>
      <protection locked="0"/>
    </xf>
    <xf numFmtId="10" fontId="59" fillId="0" borderId="636" xfId="10" applyNumberFormat="1" applyFont="1" applyFill="1" applyBorder="1" applyAlignment="1" applyProtection="1">
      <alignment horizontal="right" vertical="center"/>
      <protection locked="0"/>
    </xf>
    <xf numFmtId="49" fontId="59" fillId="10" borderId="637" xfId="10" applyNumberFormat="1" applyFont="1" applyFill="1" applyBorder="1" applyAlignment="1" applyProtection="1">
      <alignment vertical="center" wrapText="1"/>
      <protection locked="0"/>
    </xf>
    <xf numFmtId="49" fontId="59" fillId="10" borderId="623" xfId="10" applyNumberFormat="1" applyFont="1" applyFill="1" applyBorder="1" applyAlignment="1" applyProtection="1">
      <alignment vertical="center" wrapText="1"/>
      <protection locked="0"/>
    </xf>
    <xf numFmtId="10" fontId="59" fillId="10" borderId="623" xfId="10" applyNumberFormat="1" applyFont="1" applyFill="1" applyBorder="1" applyAlignment="1" applyProtection="1">
      <alignment horizontal="right" vertical="center" wrapText="1"/>
      <protection locked="0"/>
    </xf>
    <xf numFmtId="49" fontId="59" fillId="10" borderId="63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3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642" xfId="10" applyNumberFormat="1" applyFont="1" applyFill="1" applyBorder="1" applyAlignment="1" applyProtection="1">
      <alignment horizontal="right" vertical="center"/>
      <protection locked="0"/>
    </xf>
    <xf numFmtId="10" fontId="59" fillId="0" borderId="642" xfId="10" applyNumberFormat="1" applyFont="1" applyFill="1" applyBorder="1" applyAlignment="1" applyProtection="1">
      <alignment horizontal="right" vertical="center"/>
      <protection locked="0"/>
    </xf>
    <xf numFmtId="3" fontId="62" fillId="0" borderId="623" xfId="10" applyNumberFormat="1" applyFont="1" applyFill="1" applyBorder="1" applyAlignment="1" applyProtection="1">
      <alignment horizontal="right" vertical="center"/>
      <protection locked="0"/>
    </xf>
    <xf numFmtId="10" fontId="62" fillId="0" borderId="623" xfId="10" applyNumberFormat="1" applyFont="1" applyFill="1" applyBorder="1" applyAlignment="1" applyProtection="1">
      <alignment horizontal="right" vertical="center"/>
      <protection locked="0"/>
    </xf>
    <xf numFmtId="49" fontId="59" fillId="10" borderId="64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44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646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290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29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3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3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5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5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52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5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5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29" xfId="10" applyNumberFormat="1" applyFont="1" applyFill="1" applyBorder="1" applyAlignment="1" applyProtection="1">
      <alignment horizontal="left" vertical="center" wrapText="1"/>
      <protection locked="0"/>
    </xf>
    <xf numFmtId="3" fontId="59" fillId="6" borderId="623" xfId="10" applyNumberFormat="1" applyFont="1" applyFill="1" applyBorder="1" applyAlignment="1" applyProtection="1">
      <alignment horizontal="right" vertical="center"/>
      <protection locked="0"/>
    </xf>
    <xf numFmtId="10" fontId="59" fillId="6" borderId="623" xfId="10" applyNumberFormat="1" applyFont="1" applyFill="1" applyBorder="1" applyAlignment="1" applyProtection="1">
      <alignment horizontal="right" vertical="center"/>
      <protection locked="0"/>
    </xf>
    <xf numFmtId="49" fontId="59" fillId="10" borderId="655" xfId="10" applyNumberFormat="1" applyFont="1" applyFill="1" applyBorder="1" applyAlignment="1" applyProtection="1">
      <alignment horizontal="center" vertical="center" wrapText="1"/>
      <protection locked="0"/>
    </xf>
    <xf numFmtId="10" fontId="59" fillId="6" borderId="17" xfId="10" applyNumberFormat="1" applyFont="1" applyFill="1" applyBorder="1" applyAlignment="1" applyProtection="1">
      <alignment horizontal="right" vertical="center"/>
      <protection locked="0"/>
    </xf>
    <xf numFmtId="3" fontId="64" fillId="0" borderId="623" xfId="10" applyNumberFormat="1" applyFont="1" applyFill="1" applyBorder="1" applyAlignment="1" applyProtection="1">
      <alignment horizontal="right" vertical="center"/>
      <protection locked="0"/>
    </xf>
    <xf numFmtId="10" fontId="64" fillId="0" borderId="623" xfId="10" applyNumberFormat="1" applyFont="1" applyFill="1" applyBorder="1" applyAlignment="1" applyProtection="1">
      <alignment horizontal="right" vertical="center"/>
      <protection locked="0"/>
    </xf>
    <xf numFmtId="49" fontId="59" fillId="10" borderId="656" xfId="10" applyNumberFormat="1" applyFont="1" applyFill="1" applyBorder="1" applyAlignment="1" applyProtection="1">
      <alignment horizontal="center" vertical="center" wrapText="1"/>
      <protection locked="0"/>
    </xf>
    <xf numFmtId="49" fontId="31" fillId="0" borderId="603" xfId="0" applyNumberFormat="1" applyFont="1" applyBorder="1" applyAlignment="1">
      <alignment vertical="center" wrapText="1"/>
    </xf>
    <xf numFmtId="49" fontId="59" fillId="10" borderId="65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5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4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5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4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660" xfId="10" applyNumberFormat="1" applyFont="1" applyFill="1" applyBorder="1" applyAlignment="1" applyProtection="1">
      <alignment horizontal="right" vertical="center"/>
      <protection locked="0"/>
    </xf>
    <xf numFmtId="10" fontId="59" fillId="0" borderId="660" xfId="10" applyNumberFormat="1" applyFont="1" applyFill="1" applyBorder="1" applyAlignment="1" applyProtection="1">
      <alignment horizontal="right" vertical="center"/>
      <protection locked="0"/>
    </xf>
    <xf numFmtId="49" fontId="59" fillId="10" borderId="66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62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63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666" xfId="10" applyNumberFormat="1" applyFont="1" applyFill="1" applyBorder="1" applyAlignment="1" applyProtection="1">
      <alignment horizontal="right" vertical="center"/>
      <protection locked="0"/>
    </xf>
    <xf numFmtId="10" fontId="62" fillId="6" borderId="17" xfId="10" applyNumberFormat="1" applyFont="1" applyFill="1" applyBorder="1" applyAlignment="1" applyProtection="1">
      <alignment horizontal="right" vertical="center"/>
      <protection locked="0"/>
    </xf>
    <xf numFmtId="3" fontId="59" fillId="6" borderId="636" xfId="10" applyNumberFormat="1" applyFont="1" applyFill="1" applyBorder="1" applyAlignment="1" applyProtection="1">
      <alignment horizontal="right" vertical="center"/>
      <protection locked="0"/>
    </xf>
    <xf numFmtId="10" fontId="59" fillId="6" borderId="636" xfId="10" applyNumberFormat="1" applyFont="1" applyFill="1" applyBorder="1" applyAlignment="1" applyProtection="1">
      <alignment horizontal="right" vertical="center"/>
      <protection locked="0"/>
    </xf>
    <xf numFmtId="49" fontId="59" fillId="10" borderId="667" xfId="10" applyNumberFormat="1" applyFont="1" applyFill="1" applyBorder="1" applyAlignment="1" applyProtection="1">
      <alignment horizontal="center" vertical="center" wrapText="1"/>
      <protection locked="0"/>
    </xf>
    <xf numFmtId="10" fontId="59" fillId="6" borderId="668" xfId="10" applyNumberFormat="1" applyFont="1" applyFill="1" applyBorder="1" applyAlignment="1" applyProtection="1">
      <alignment horizontal="right" vertical="center"/>
      <protection locked="0"/>
    </xf>
    <xf numFmtId="49" fontId="63" fillId="13" borderId="24" xfId="10" applyNumberFormat="1" applyFont="1" applyFill="1" applyBorder="1" applyAlignment="1" applyProtection="1">
      <alignment horizontal="center" vertical="center" wrapText="1"/>
      <protection locked="0"/>
    </xf>
    <xf numFmtId="49" fontId="63" fillId="13" borderId="13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671" xfId="10" applyNumberFormat="1" applyFont="1" applyFill="1" applyBorder="1" applyAlignment="1" applyProtection="1">
      <alignment horizontal="right" vertical="center"/>
      <protection locked="0"/>
    </xf>
    <xf numFmtId="3" fontId="59" fillId="0" borderId="672" xfId="10" applyNumberFormat="1" applyFont="1" applyFill="1" applyBorder="1" applyAlignment="1" applyProtection="1">
      <alignment horizontal="right" vertical="center"/>
      <protection locked="0"/>
    </xf>
    <xf numFmtId="10" fontId="59" fillId="0" borderId="672" xfId="10" applyNumberFormat="1" applyFont="1" applyFill="1" applyBorder="1" applyAlignment="1" applyProtection="1">
      <alignment horizontal="right" vertical="center"/>
      <protection locked="0"/>
    </xf>
    <xf numFmtId="49" fontId="59" fillId="10" borderId="67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76" xfId="10" applyNumberFormat="1" applyFont="1" applyFill="1" applyBorder="1" applyAlignment="1" applyProtection="1">
      <alignment horizontal="left" vertical="center" wrapText="1"/>
      <protection locked="0"/>
    </xf>
    <xf numFmtId="10" fontId="59" fillId="10" borderId="482" xfId="10" applyNumberFormat="1" applyFont="1" applyFill="1" applyBorder="1" applyAlignment="1" applyProtection="1">
      <alignment horizontal="right" vertical="center" wrapText="1"/>
      <protection locked="0"/>
    </xf>
    <xf numFmtId="10" fontId="59" fillId="0" borderId="679" xfId="10" applyNumberFormat="1" applyFont="1" applyFill="1" applyBorder="1" applyAlignment="1" applyProtection="1">
      <alignment horizontal="right" vertical="center"/>
      <protection locked="0"/>
    </xf>
    <xf numFmtId="49" fontId="59" fillId="10" borderId="666" xfId="10" applyNumberFormat="1" applyFont="1" applyFill="1" applyBorder="1" applyAlignment="1" applyProtection="1">
      <alignment vertical="center" wrapText="1"/>
      <protection locked="0"/>
    </xf>
    <xf numFmtId="10" fontId="59" fillId="10" borderId="680" xfId="10" applyNumberFormat="1" applyFont="1" applyFill="1" applyBorder="1" applyAlignment="1" applyProtection="1">
      <alignment horizontal="right" vertical="center" wrapText="1"/>
      <protection locked="0"/>
    </xf>
    <xf numFmtId="10" fontId="59" fillId="0" borderId="666" xfId="10" applyNumberFormat="1" applyFont="1" applyFill="1" applyBorder="1" applyAlignment="1" applyProtection="1">
      <alignment horizontal="right" vertical="center"/>
      <protection locked="0"/>
    </xf>
    <xf numFmtId="49" fontId="59" fillId="10" borderId="68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8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8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86" xfId="10" applyNumberFormat="1" applyFont="1" applyFill="1" applyBorder="1" applyAlignment="1" applyProtection="1">
      <alignment horizontal="left" vertical="center" wrapText="1"/>
      <protection locked="0"/>
    </xf>
    <xf numFmtId="3" fontId="62" fillId="6" borderId="636" xfId="10" applyNumberFormat="1" applyFont="1" applyFill="1" applyBorder="1" applyAlignment="1" applyProtection="1">
      <alignment horizontal="right" vertical="center"/>
      <protection locked="0"/>
    </xf>
    <xf numFmtId="10" fontId="62" fillId="6" borderId="636" xfId="10" applyNumberFormat="1" applyFont="1" applyFill="1" applyBorder="1" applyAlignment="1" applyProtection="1">
      <alignment horizontal="right" vertical="center"/>
      <protection locked="0"/>
    </xf>
    <xf numFmtId="49" fontId="59" fillId="10" borderId="690" xfId="10" applyNumberFormat="1" applyFont="1" applyFill="1" applyBorder="1" applyAlignment="1" applyProtection="1">
      <alignment horizontal="center" vertical="center" wrapText="1"/>
      <protection locked="0"/>
    </xf>
    <xf numFmtId="3" fontId="59" fillId="6" borderId="668" xfId="10" applyNumberFormat="1" applyFont="1" applyFill="1" applyBorder="1" applyAlignment="1" applyProtection="1">
      <alignment horizontal="right" vertical="center"/>
      <protection locked="0"/>
    </xf>
    <xf numFmtId="3" fontId="59" fillId="0" borderId="693" xfId="10" applyNumberFormat="1" applyFont="1" applyFill="1" applyBorder="1" applyAlignment="1" applyProtection="1">
      <alignment horizontal="right" vertical="center"/>
      <protection locked="0"/>
    </xf>
    <xf numFmtId="10" fontId="59" fillId="0" borderId="693" xfId="10" applyNumberFormat="1" applyFont="1" applyFill="1" applyBorder="1" applyAlignment="1" applyProtection="1">
      <alignment horizontal="right" vertical="center"/>
      <protection locked="0"/>
    </xf>
    <xf numFmtId="49" fontId="59" fillId="10" borderId="694" xfId="10" applyNumberFormat="1" applyFont="1" applyFill="1" applyBorder="1" applyAlignment="1" applyProtection="1">
      <alignment horizontal="center" vertical="center" wrapText="1"/>
      <protection locked="0"/>
    </xf>
    <xf numFmtId="10" fontId="62" fillId="2" borderId="44" xfId="10" applyNumberFormat="1" applyFont="1" applyFill="1" applyBorder="1" applyAlignment="1" applyProtection="1">
      <alignment horizontal="right" vertical="center"/>
      <protection locked="0"/>
    </xf>
    <xf numFmtId="3" fontId="59" fillId="0" borderId="681" xfId="10" applyNumberFormat="1" applyFont="1" applyFill="1" applyBorder="1" applyAlignment="1" applyProtection="1">
      <alignment horizontal="right" vertical="center"/>
      <protection locked="0"/>
    </xf>
    <xf numFmtId="10" fontId="59" fillId="0" borderId="681" xfId="10" applyNumberFormat="1" applyFont="1" applyFill="1" applyBorder="1" applyAlignment="1" applyProtection="1">
      <alignment horizontal="right" vertical="center"/>
      <protection locked="0"/>
    </xf>
    <xf numFmtId="10" fontId="62" fillId="11" borderId="44" xfId="10" applyNumberFormat="1" applyFont="1" applyFill="1" applyBorder="1" applyAlignment="1" applyProtection="1">
      <alignment horizontal="right" vertical="top" wrapText="1"/>
      <protection locked="0"/>
    </xf>
    <xf numFmtId="10" fontId="63" fillId="13" borderId="44" xfId="10" applyNumberFormat="1" applyFont="1" applyFill="1" applyBorder="1" applyAlignment="1" applyProtection="1">
      <alignment horizontal="right" vertical="center" wrapText="1"/>
      <protection locked="0"/>
    </xf>
    <xf numFmtId="3" fontId="59" fillId="10" borderId="463" xfId="10" applyNumberFormat="1" applyFont="1" applyFill="1" applyBorder="1" applyAlignment="1" applyProtection="1">
      <alignment horizontal="right" vertical="center" wrapText="1"/>
      <protection locked="0"/>
    </xf>
    <xf numFmtId="10" fontId="59" fillId="10" borderId="463" xfId="10" applyNumberFormat="1" applyFont="1" applyFill="1" applyBorder="1" applyAlignment="1" applyProtection="1">
      <alignment horizontal="right" vertical="center" wrapText="1"/>
      <protection locked="0"/>
    </xf>
    <xf numFmtId="3" fontId="59" fillId="10" borderId="696" xfId="10" applyNumberFormat="1" applyFont="1" applyFill="1" applyBorder="1" applyAlignment="1" applyProtection="1">
      <alignment horizontal="right" vertical="center" wrapText="1"/>
      <protection locked="0"/>
    </xf>
    <xf numFmtId="10" fontId="59" fillId="10" borderId="696" xfId="10" applyNumberFormat="1" applyFont="1" applyFill="1" applyBorder="1" applyAlignment="1" applyProtection="1">
      <alignment horizontal="right" vertical="center" wrapText="1"/>
      <protection locked="0"/>
    </xf>
    <xf numFmtId="10" fontId="59" fillId="10" borderId="697" xfId="10" applyNumberFormat="1" applyFont="1" applyFill="1" applyBorder="1" applyAlignment="1" applyProtection="1">
      <alignment horizontal="right" vertical="center" wrapText="1"/>
      <protection locked="0"/>
    </xf>
    <xf numFmtId="3" fontId="63" fillId="13" borderId="698" xfId="10" applyNumberFormat="1" applyFont="1" applyFill="1" applyBorder="1" applyAlignment="1" applyProtection="1">
      <alignment horizontal="right" vertical="center" wrapText="1"/>
      <protection locked="0"/>
    </xf>
    <xf numFmtId="3" fontId="59" fillId="10" borderId="701" xfId="10" applyNumberFormat="1" applyFont="1" applyFill="1" applyBorder="1" applyAlignment="1" applyProtection="1">
      <alignment horizontal="right" vertical="center" wrapText="1"/>
      <protection locked="0"/>
    </xf>
    <xf numFmtId="0" fontId="7" fillId="6" borderId="488" xfId="1" applyNumberFormat="1" applyFont="1" applyFill="1" applyBorder="1" applyAlignment="1">
      <alignment horizontal="center" vertical="center"/>
    </xf>
    <xf numFmtId="3" fontId="38" fillId="6" borderId="489" xfId="0" applyNumberFormat="1" applyFont="1" applyFill="1" applyBorder="1" applyAlignment="1">
      <alignment vertical="center"/>
    </xf>
    <xf numFmtId="0" fontId="7" fillId="6" borderId="99" xfId="1" applyNumberFormat="1" applyFont="1" applyFill="1" applyBorder="1" applyAlignment="1">
      <alignment horizontal="center" vertical="center"/>
    </xf>
    <xf numFmtId="3" fontId="38" fillId="6" borderId="703" xfId="0" applyNumberFormat="1" applyFont="1" applyFill="1" applyBorder="1" applyAlignment="1">
      <alignment vertical="center"/>
    </xf>
    <xf numFmtId="3" fontId="7" fillId="6" borderId="133" xfId="1" applyNumberFormat="1" applyFont="1" applyFill="1" applyBorder="1" applyAlignment="1">
      <alignment horizontal="right" vertical="center" wrapText="1"/>
    </xf>
    <xf numFmtId="3" fontId="38" fillId="6" borderId="134" xfId="0" applyNumberFormat="1" applyFont="1" applyFill="1" applyBorder="1" applyAlignment="1">
      <alignment vertical="center"/>
    </xf>
    <xf numFmtId="0" fontId="7" fillId="6" borderId="4" xfId="1" applyFont="1" applyFill="1" applyBorder="1" applyAlignment="1">
      <alignment horizontal="left" vertical="center" wrapText="1"/>
    </xf>
    <xf numFmtId="0" fontId="7" fillId="0" borderId="488" xfId="4" applyNumberFormat="1" applyFont="1" applyBorder="1" applyAlignment="1">
      <alignment horizontal="center" vertical="center"/>
    </xf>
    <xf numFmtId="3" fontId="7" fillId="6" borderId="702" xfId="4" applyNumberFormat="1" applyFont="1" applyFill="1" applyBorder="1" applyAlignment="1">
      <alignment vertical="center"/>
    </xf>
    <xf numFmtId="3" fontId="7" fillId="6" borderId="489" xfId="4" applyNumberFormat="1" applyFont="1" applyFill="1" applyBorder="1" applyAlignment="1">
      <alignment vertical="center"/>
    </xf>
    <xf numFmtId="3" fontId="7" fillId="6" borderId="705" xfId="1" applyNumberFormat="1" applyFont="1" applyFill="1" applyBorder="1" applyAlignment="1">
      <alignment horizontal="right" vertical="center"/>
    </xf>
    <xf numFmtId="3" fontId="7" fillId="6" borderId="706" xfId="1" applyNumberFormat="1" applyFont="1" applyFill="1" applyBorder="1" applyAlignment="1">
      <alignment horizontal="right" vertical="center"/>
    </xf>
    <xf numFmtId="0" fontId="5" fillId="0" borderId="4" xfId="1" applyFont="1" applyBorder="1" applyAlignment="1">
      <alignment horizontal="left" vertical="center" wrapText="1"/>
    </xf>
    <xf numFmtId="0" fontId="7" fillId="0" borderId="29" xfId="1" applyNumberFormat="1" applyFont="1" applyBorder="1" applyAlignment="1">
      <alignment horizontal="center" vertical="center"/>
    </xf>
    <xf numFmtId="3" fontId="7" fillId="6" borderId="133" xfId="1" applyNumberFormat="1" applyFont="1" applyFill="1" applyBorder="1" applyAlignment="1">
      <alignment horizontal="right" vertical="center"/>
    </xf>
    <xf numFmtId="3" fontId="7" fillId="6" borderId="134" xfId="1" applyNumberFormat="1" applyFont="1" applyFill="1" applyBorder="1" applyAlignment="1">
      <alignment horizontal="right" vertical="center"/>
    </xf>
    <xf numFmtId="0" fontId="7" fillId="0" borderId="4" xfId="1" applyFont="1" applyBorder="1" applyAlignment="1">
      <alignment horizontal="left" vertical="center" wrapText="1"/>
    </xf>
    <xf numFmtId="0" fontId="7" fillId="0" borderId="175" xfId="1" applyNumberFormat="1" applyFont="1" applyBorder="1" applyAlignment="1">
      <alignment horizontal="center" vertical="center"/>
    </xf>
    <xf numFmtId="0" fontId="7" fillId="6" borderId="24" xfId="1" applyNumberFormat="1" applyFont="1" applyFill="1" applyBorder="1" applyAlignment="1">
      <alignment horizontal="center" vertical="center"/>
    </xf>
    <xf numFmtId="0" fontId="12" fillId="6" borderId="141" xfId="1" applyFont="1" applyFill="1" applyBorder="1" applyAlignment="1">
      <alignment horizontal="center" vertical="center"/>
    </xf>
    <xf numFmtId="0" fontId="12" fillId="6" borderId="707" xfId="1" applyFont="1" applyFill="1" applyBorder="1" applyAlignment="1">
      <alignment horizontal="center" vertical="center"/>
    </xf>
    <xf numFmtId="3" fontId="7" fillId="6" borderId="17" xfId="1" applyNumberFormat="1" applyFont="1" applyFill="1" applyBorder="1" applyAlignment="1">
      <alignment horizontal="left" vertical="center" wrapText="1"/>
    </xf>
    <xf numFmtId="3" fontId="12" fillId="0" borderId="4" xfId="4" applyNumberFormat="1" applyFont="1" applyBorder="1" applyAlignment="1">
      <alignment vertical="center"/>
    </xf>
    <xf numFmtId="0" fontId="39" fillId="6" borderId="17" xfId="0" applyFont="1" applyFill="1" applyBorder="1" applyAlignment="1">
      <alignment horizontal="left" vertical="center" wrapText="1"/>
    </xf>
    <xf numFmtId="0" fontId="7" fillId="0" borderId="1" xfId="4" applyNumberFormat="1" applyFont="1" applyBorder="1" applyAlignment="1">
      <alignment horizontal="center" vertical="center"/>
    </xf>
    <xf numFmtId="3" fontId="7" fillId="6" borderId="704" xfId="4" applyNumberFormat="1" applyFont="1" applyFill="1" applyBorder="1" applyAlignment="1">
      <alignment vertical="center"/>
    </xf>
    <xf numFmtId="3" fontId="7" fillId="6" borderId="703" xfId="4" applyNumberFormat="1" applyFont="1" applyFill="1" applyBorder="1" applyAlignment="1">
      <alignment vertical="center"/>
    </xf>
    <xf numFmtId="3" fontId="7" fillId="6" borderId="134" xfId="1" applyNumberFormat="1" applyFont="1" applyFill="1" applyBorder="1" applyAlignment="1">
      <alignment horizontal="right" vertical="center" wrapText="1"/>
    </xf>
    <xf numFmtId="0" fontId="12" fillId="6" borderId="4" xfId="1" applyFont="1" applyFill="1" applyBorder="1" applyAlignment="1">
      <alignment horizontal="center" vertical="center"/>
    </xf>
    <xf numFmtId="3" fontId="39" fillId="6" borderId="4" xfId="0" applyNumberFormat="1" applyFont="1" applyFill="1" applyBorder="1" applyAlignment="1">
      <alignment vertical="center" wrapText="1"/>
    </xf>
    <xf numFmtId="0" fontId="7" fillId="0" borderId="77" xfId="4" applyNumberFormat="1" applyFont="1" applyBorder="1" applyAlignment="1">
      <alignment horizontal="center" vertical="center"/>
    </xf>
    <xf numFmtId="3" fontId="7" fillId="6" borderId="164" xfId="4" applyNumberFormat="1" applyFont="1" applyFill="1" applyBorder="1" applyAlignment="1">
      <alignment horizontal="right" vertical="center"/>
    </xf>
    <xf numFmtId="3" fontId="7" fillId="6" borderId="165" xfId="4" applyNumberFormat="1" applyFont="1" applyFill="1" applyBorder="1" applyAlignment="1">
      <alignment horizontal="right" vertical="center"/>
    </xf>
    <xf numFmtId="0" fontId="7" fillId="6" borderId="14" xfId="4" applyFont="1" applyFill="1" applyBorder="1" applyAlignment="1">
      <alignment vertical="center" wrapText="1"/>
    </xf>
    <xf numFmtId="0" fontId="7" fillId="0" borderId="137" xfId="4" applyNumberFormat="1" applyFont="1" applyBorder="1" applyAlignment="1">
      <alignment horizontal="center" vertical="center"/>
    </xf>
    <xf numFmtId="3" fontId="7" fillId="6" borderId="135" xfId="4" applyNumberFormat="1" applyFont="1" applyFill="1" applyBorder="1" applyAlignment="1">
      <alignment horizontal="right" vertical="center"/>
    </xf>
    <xf numFmtId="0" fontId="7" fillId="0" borderId="700" xfId="4" applyNumberFormat="1" applyFont="1" applyBorder="1" applyAlignment="1">
      <alignment horizontal="center" vertical="center"/>
    </xf>
    <xf numFmtId="3" fontId="7" fillId="6" borderId="705" xfId="4" applyNumberFormat="1" applyFont="1" applyFill="1" applyBorder="1" applyAlignment="1">
      <alignment horizontal="right" vertical="center"/>
    </xf>
    <xf numFmtId="3" fontId="7" fillId="6" borderId="706" xfId="4" applyNumberFormat="1" applyFont="1" applyFill="1" applyBorder="1" applyAlignment="1">
      <alignment horizontal="right" vertical="center"/>
    </xf>
    <xf numFmtId="0" fontId="7" fillId="6" borderId="7" xfId="4" applyFont="1" applyFill="1" applyBorder="1" applyAlignment="1">
      <alignment vertical="center" wrapText="1"/>
    </xf>
    <xf numFmtId="0" fontId="7" fillId="0" borderId="700" xfId="1" applyNumberFormat="1" applyFont="1" applyBorder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88" fillId="0" borderId="0" xfId="1" applyFont="1" applyAlignment="1">
      <alignment vertical="center" wrapText="1"/>
    </xf>
    <xf numFmtId="0" fontId="92" fillId="19" borderId="709" xfId="1" applyFont="1" applyFill="1" applyBorder="1" applyAlignment="1">
      <alignment horizontal="center" vertical="center" wrapText="1"/>
    </xf>
    <xf numFmtId="0" fontId="92" fillId="19" borderId="710" xfId="1" applyFont="1" applyFill="1" applyBorder="1" applyAlignment="1">
      <alignment horizontal="center" vertical="center" wrapText="1"/>
    </xf>
    <xf numFmtId="49" fontId="93" fillId="19" borderId="708" xfId="1" applyNumberFormat="1" applyFont="1" applyFill="1" applyBorder="1" applyAlignment="1">
      <alignment horizontal="center" vertical="center"/>
    </xf>
    <xf numFmtId="49" fontId="93" fillId="19" borderId="709" xfId="1" applyNumberFormat="1" applyFont="1" applyFill="1" applyBorder="1" applyAlignment="1">
      <alignment horizontal="center" vertical="center"/>
    </xf>
    <xf numFmtId="0" fontId="15" fillId="19" borderId="709" xfId="1" applyFont="1" applyFill="1" applyBorder="1" applyAlignment="1">
      <alignment horizontal="center" vertical="center"/>
    </xf>
    <xf numFmtId="0" fontId="15" fillId="19" borderId="710" xfId="1" applyFont="1" applyFill="1" applyBorder="1" applyAlignment="1">
      <alignment horizontal="center" vertical="center"/>
    </xf>
    <xf numFmtId="49" fontId="9" fillId="20" borderId="708" xfId="1" applyNumberFormat="1" applyFont="1" applyFill="1" applyBorder="1" applyAlignment="1">
      <alignment horizontal="center" vertical="center"/>
    </xf>
    <xf numFmtId="3" fontId="12" fillId="20" borderId="709" xfId="1" applyNumberFormat="1" applyFont="1" applyFill="1" applyBorder="1" applyAlignment="1">
      <alignment vertical="center"/>
    </xf>
    <xf numFmtId="3" fontId="12" fillId="20" borderId="710" xfId="1" applyNumberFormat="1" applyFont="1" applyFill="1" applyBorder="1" applyAlignment="1">
      <alignment vertical="center"/>
    </xf>
    <xf numFmtId="0" fontId="41" fillId="0" borderId="0" xfId="1" applyFont="1"/>
    <xf numFmtId="49" fontId="90" fillId="14" borderId="709" xfId="1" applyNumberFormat="1" applyFont="1" applyFill="1" applyBorder="1" applyAlignment="1">
      <alignment horizontal="center" vertical="center" wrapText="1"/>
    </xf>
    <xf numFmtId="3" fontId="94" fillId="14" borderId="709" xfId="1" applyNumberFormat="1" applyFont="1" applyFill="1" applyBorder="1" applyAlignment="1">
      <alignment vertical="center"/>
    </xf>
    <xf numFmtId="3" fontId="94" fillId="14" borderId="710" xfId="1" applyNumberFormat="1" applyFont="1" applyFill="1" applyBorder="1" applyAlignment="1">
      <alignment vertical="center"/>
    </xf>
    <xf numFmtId="0" fontId="95" fillId="0" borderId="0" xfId="1" applyFont="1"/>
    <xf numFmtId="3" fontId="95" fillId="0" borderId="0" xfId="1" applyNumberFormat="1" applyFont="1"/>
    <xf numFmtId="49" fontId="96" fillId="8" borderId="709" xfId="1" applyNumberFormat="1" applyFont="1" applyFill="1" applyBorder="1" applyAlignment="1">
      <alignment horizontal="center" vertical="center" wrapText="1"/>
    </xf>
    <xf numFmtId="3" fontId="97" fillId="8" borderId="709" xfId="1" applyNumberFormat="1" applyFont="1" applyFill="1" applyBorder="1" applyAlignment="1">
      <alignment vertical="center"/>
    </xf>
    <xf numFmtId="3" fontId="97" fillId="8" borderId="710" xfId="1" applyNumberFormat="1" applyFont="1" applyFill="1" applyBorder="1" applyAlignment="1">
      <alignment vertical="center"/>
    </xf>
    <xf numFmtId="49" fontId="37" fillId="0" borderId="709" xfId="1" applyNumberFormat="1" applyFont="1" applyBorder="1" applyAlignment="1">
      <alignment horizontal="center" vertical="center"/>
    </xf>
    <xf numFmtId="3" fontId="37" fillId="0" borderId="709" xfId="1" applyNumberFormat="1" applyFont="1" applyBorder="1" applyAlignment="1">
      <alignment vertical="center"/>
    </xf>
    <xf numFmtId="3" fontId="37" fillId="0" borderId="710" xfId="1" applyNumberFormat="1" applyFont="1" applyBorder="1" applyAlignment="1">
      <alignment vertical="center"/>
    </xf>
    <xf numFmtId="49" fontId="96" fillId="8" borderId="709" xfId="1" applyNumberFormat="1" applyFont="1" applyFill="1" applyBorder="1" applyAlignment="1">
      <alignment horizontal="center" vertical="center"/>
    </xf>
    <xf numFmtId="0" fontId="37" fillId="0" borderId="709" xfId="1" applyNumberFormat="1" applyFont="1" applyBorder="1" applyAlignment="1">
      <alignment horizontal="center" vertical="center"/>
    </xf>
    <xf numFmtId="0" fontId="37" fillId="0" borderId="709" xfId="1" applyFont="1" applyBorder="1" applyAlignment="1">
      <alignment vertical="center"/>
    </xf>
    <xf numFmtId="0" fontId="37" fillId="0" borderId="709" xfId="1" applyFont="1" applyBorder="1" applyAlignment="1">
      <alignment horizontal="center" vertical="center"/>
    </xf>
    <xf numFmtId="49" fontId="37" fillId="0" borderId="708" xfId="1" applyNumberFormat="1" applyFont="1" applyBorder="1" applyAlignment="1">
      <alignment vertical="center"/>
    </xf>
    <xf numFmtId="0" fontId="13" fillId="0" borderId="709" xfId="1" applyFont="1" applyBorder="1" applyAlignment="1">
      <alignment vertical="center" wrapText="1"/>
    </xf>
    <xf numFmtId="49" fontId="14" fillId="0" borderId="709" xfId="1" applyNumberFormat="1" applyFont="1" applyBorder="1" applyAlignment="1">
      <alignment horizontal="center" vertical="center" wrapText="1"/>
    </xf>
    <xf numFmtId="3" fontId="13" fillId="0" borderId="709" xfId="1" applyNumberFormat="1" applyFont="1" applyBorder="1" applyAlignment="1">
      <alignment vertical="center"/>
    </xf>
    <xf numFmtId="3" fontId="13" fillId="0" borderId="710" xfId="1" applyNumberFormat="1" applyFont="1" applyBorder="1" applyAlignment="1">
      <alignment vertical="center"/>
    </xf>
    <xf numFmtId="49" fontId="98" fillId="0" borderId="708" xfId="1" applyNumberFormat="1" applyFont="1" applyBorder="1" applyAlignment="1">
      <alignment vertical="center"/>
    </xf>
    <xf numFmtId="0" fontId="99" fillId="0" borderId="709" xfId="1" applyFont="1" applyBorder="1" applyAlignment="1">
      <alignment vertical="center" wrapText="1"/>
    </xf>
    <xf numFmtId="0" fontId="98" fillId="0" borderId="709" xfId="1" applyFont="1" applyBorder="1" applyAlignment="1">
      <alignment vertical="center"/>
    </xf>
    <xf numFmtId="49" fontId="98" fillId="0" borderId="709" xfId="1" applyNumberFormat="1" applyFont="1" applyBorder="1" applyAlignment="1">
      <alignment vertical="center"/>
    </xf>
    <xf numFmtId="49" fontId="98" fillId="0" borderId="709" xfId="1" applyNumberFormat="1" applyFont="1" applyBorder="1" applyAlignment="1">
      <alignment horizontal="center" vertical="center"/>
    </xf>
    <xf numFmtId="3" fontId="98" fillId="0" borderId="709" xfId="1" applyNumberFormat="1" applyFont="1" applyBorder="1" applyAlignment="1">
      <alignment vertical="center"/>
    </xf>
    <xf numFmtId="3" fontId="98" fillId="0" borderId="710" xfId="1" applyNumberFormat="1" applyFont="1" applyBorder="1" applyAlignment="1">
      <alignment vertical="center"/>
    </xf>
    <xf numFmtId="0" fontId="98" fillId="0" borderId="709" xfId="1" applyFont="1" applyBorder="1" applyAlignment="1">
      <alignment vertical="center" wrapText="1"/>
    </xf>
    <xf numFmtId="49" fontId="100" fillId="14" borderId="709" xfId="1" applyNumberFormat="1" applyFont="1" applyFill="1" applyBorder="1" applyAlignment="1">
      <alignment horizontal="center" vertical="center" wrapText="1"/>
    </xf>
    <xf numFmtId="3" fontId="101" fillId="14" borderId="709" xfId="1" applyNumberFormat="1" applyFont="1" applyFill="1" applyBorder="1" applyAlignment="1">
      <alignment vertical="center"/>
    </xf>
    <xf numFmtId="3" fontId="101" fillId="14" borderId="710" xfId="1" applyNumberFormat="1" applyFont="1" applyFill="1" applyBorder="1" applyAlignment="1">
      <alignment vertical="center"/>
    </xf>
    <xf numFmtId="49" fontId="102" fillId="8" borderId="709" xfId="1" applyNumberFormat="1" applyFont="1" applyFill="1" applyBorder="1" applyAlignment="1">
      <alignment horizontal="center" vertical="center" wrapText="1"/>
    </xf>
    <xf numFmtId="3" fontId="103" fillId="8" borderId="709" xfId="1" applyNumberFormat="1" applyFont="1" applyFill="1" applyBorder="1" applyAlignment="1">
      <alignment vertical="center"/>
    </xf>
    <xf numFmtId="3" fontId="103" fillId="8" borderId="710" xfId="1" applyNumberFormat="1" applyFont="1" applyFill="1" applyBorder="1" applyAlignment="1">
      <alignment vertical="center"/>
    </xf>
    <xf numFmtId="49" fontId="88" fillId="0" borderId="709" xfId="1" applyNumberFormat="1" applyFont="1" applyBorder="1" applyAlignment="1">
      <alignment horizontal="center" vertical="center" wrapText="1"/>
    </xf>
    <xf numFmtId="3" fontId="99" fillId="0" borderId="709" xfId="1" applyNumberFormat="1" applyFont="1" applyBorder="1" applyAlignment="1">
      <alignment vertical="center"/>
    </xf>
    <xf numFmtId="3" fontId="99" fillId="0" borderId="710" xfId="1" applyNumberFormat="1" applyFont="1" applyBorder="1" applyAlignment="1">
      <alignment vertical="center"/>
    </xf>
    <xf numFmtId="49" fontId="102" fillId="8" borderId="709" xfId="1" applyNumberFormat="1" applyFont="1" applyFill="1" applyBorder="1" applyAlignment="1">
      <alignment horizontal="center" vertical="center"/>
    </xf>
    <xf numFmtId="0" fontId="98" fillId="0" borderId="709" xfId="1" applyFont="1" applyBorder="1" applyAlignment="1">
      <alignment horizontal="center" vertical="center"/>
    </xf>
    <xf numFmtId="0" fontId="89" fillId="0" borderId="0" xfId="1" applyFont="1"/>
    <xf numFmtId="3" fontId="89" fillId="0" borderId="0" xfId="1" applyNumberFormat="1" applyFont="1"/>
    <xf numFmtId="3" fontId="104" fillId="0" borderId="0" xfId="1" applyNumberFormat="1" applyFont="1"/>
    <xf numFmtId="49" fontId="37" fillId="0" borderId="709" xfId="1" applyNumberFormat="1" applyFont="1" applyBorder="1" applyAlignment="1">
      <alignment horizontal="center" vertical="center" wrapText="1"/>
    </xf>
    <xf numFmtId="49" fontId="37" fillId="0" borderId="709" xfId="1" applyNumberFormat="1" applyFont="1" applyBorder="1" applyAlignment="1">
      <alignment vertical="center"/>
    </xf>
    <xf numFmtId="49" fontId="37" fillId="0" borderId="713" xfId="1" applyNumberFormat="1" applyFont="1" applyBorder="1" applyAlignment="1">
      <alignment vertical="center"/>
    </xf>
    <xf numFmtId="0" fontId="13" fillId="0" borderId="711" xfId="1" applyFont="1" applyBorder="1" applyAlignment="1">
      <alignment vertical="center" wrapText="1"/>
    </xf>
    <xf numFmtId="49" fontId="37" fillId="0" borderId="711" xfId="1" applyNumberFormat="1" applyFont="1" applyBorder="1" applyAlignment="1">
      <alignment vertical="center"/>
    </xf>
    <xf numFmtId="49" fontId="37" fillId="0" borderId="102" xfId="1" applyNumberFormat="1" applyFont="1" applyBorder="1" applyAlignment="1">
      <alignment vertical="center"/>
    </xf>
    <xf numFmtId="0" fontId="13" fillId="0" borderId="167" xfId="1" applyFont="1" applyBorder="1" applyAlignment="1">
      <alignment vertical="center" wrapText="1"/>
    </xf>
    <xf numFmtId="49" fontId="37" fillId="0" borderId="167" xfId="1" applyNumberFormat="1" applyFont="1" applyBorder="1" applyAlignment="1">
      <alignment vertical="center"/>
    </xf>
    <xf numFmtId="3" fontId="9" fillId="20" borderId="709" xfId="1" applyNumberFormat="1" applyFont="1" applyFill="1" applyBorder="1" applyAlignment="1">
      <alignment vertical="center"/>
    </xf>
    <xf numFmtId="3" fontId="9" fillId="20" borderId="710" xfId="1" applyNumberFormat="1" applyFont="1" applyFill="1" applyBorder="1" applyAlignment="1">
      <alignment vertical="center"/>
    </xf>
    <xf numFmtId="0" fontId="37" fillId="0" borderId="167" xfId="1" applyFont="1" applyBorder="1" applyAlignment="1">
      <alignment vertical="center"/>
    </xf>
    <xf numFmtId="49" fontId="37" fillId="0" borderId="459" xfId="1" applyNumberFormat="1" applyFont="1" applyBorder="1" applyAlignment="1">
      <alignment vertical="center"/>
    </xf>
    <xf numFmtId="0" fontId="13" fillId="0" borderId="712" xfId="1" applyFont="1" applyBorder="1" applyAlignment="1">
      <alignment vertical="center" wrapText="1"/>
    </xf>
    <xf numFmtId="0" fontId="37" fillId="0" borderId="712" xfId="1" applyFont="1" applyBorder="1" applyAlignment="1">
      <alignment vertical="center"/>
    </xf>
    <xf numFmtId="49" fontId="37" fillId="0" borderId="712" xfId="1" applyNumberFormat="1" applyFont="1" applyBorder="1" applyAlignment="1">
      <alignment vertical="center"/>
    </xf>
    <xf numFmtId="0" fontId="71" fillId="0" borderId="0" xfId="1" applyFont="1"/>
    <xf numFmtId="0" fontId="55" fillId="0" borderId="0" xfId="1" applyFont="1"/>
    <xf numFmtId="49" fontId="98" fillId="0" borderId="709" xfId="1" applyNumberFormat="1" applyFont="1" applyBorder="1" applyAlignment="1">
      <alignment horizontal="center" vertical="center" wrapText="1"/>
    </xf>
    <xf numFmtId="3" fontId="41" fillId="0" borderId="0" xfId="1" applyNumberFormat="1" applyFont="1"/>
    <xf numFmtId="49" fontId="98" fillId="0" borderId="713" xfId="1" applyNumberFormat="1" applyFont="1" applyBorder="1" applyAlignment="1">
      <alignment vertical="center"/>
    </xf>
    <xf numFmtId="0" fontId="99" fillId="0" borderId="711" xfId="1" applyFont="1" applyBorder="1" applyAlignment="1">
      <alignment vertical="center" wrapText="1"/>
    </xf>
    <xf numFmtId="0" fontId="98" fillId="0" borderId="711" xfId="1" applyFont="1" applyBorder="1" applyAlignment="1">
      <alignment vertical="center"/>
    </xf>
    <xf numFmtId="49" fontId="98" fillId="0" borderId="711" xfId="1" applyNumberFormat="1" applyFont="1" applyBorder="1" applyAlignment="1">
      <alignment vertical="center"/>
    </xf>
    <xf numFmtId="0" fontId="98" fillId="0" borderId="711" xfId="1" applyFont="1" applyBorder="1" applyAlignment="1">
      <alignment horizontal="center" vertical="center"/>
    </xf>
    <xf numFmtId="3" fontId="98" fillId="0" borderId="711" xfId="1" applyNumberFormat="1" applyFont="1" applyBorder="1" applyAlignment="1">
      <alignment vertical="center"/>
    </xf>
    <xf numFmtId="3" fontId="98" fillId="0" borderId="716" xfId="1" applyNumberFormat="1" applyFont="1" applyBorder="1" applyAlignment="1">
      <alignment vertical="center"/>
    </xf>
    <xf numFmtId="3" fontId="12" fillId="19" borderId="133" xfId="1" applyNumberFormat="1" applyFont="1" applyFill="1" applyBorder="1" applyAlignment="1">
      <alignment vertical="center"/>
    </xf>
    <xf numFmtId="3" fontId="12" fillId="19" borderId="44" xfId="1" applyNumberFormat="1" applyFont="1" applyFill="1" applyBorder="1" applyAlignment="1">
      <alignment vertical="center"/>
    </xf>
    <xf numFmtId="3" fontId="5" fillId="0" borderId="0" xfId="1" applyNumberFormat="1" applyFont="1"/>
    <xf numFmtId="0" fontId="9" fillId="0" borderId="0" xfId="1" applyFont="1" applyBorder="1" applyAlignment="1">
      <alignment horizontal="right" vertical="center"/>
    </xf>
    <xf numFmtId="3" fontId="72" fillId="0" borderId="0" xfId="1" applyNumberFormat="1" applyFont="1"/>
    <xf numFmtId="0" fontId="8" fillId="0" borderId="0" xfId="1" applyFont="1" applyBorder="1" applyAlignment="1">
      <alignment horizontal="right" vertical="center"/>
    </xf>
    <xf numFmtId="0" fontId="8" fillId="0" borderId="0" xfId="1" applyFont="1" applyFill="1" applyBorder="1" applyAlignment="1">
      <alignment horizontal="right" vertical="center"/>
    </xf>
    <xf numFmtId="0" fontId="9" fillId="0" borderId="0" xfId="1" applyFont="1" applyAlignment="1">
      <alignment horizontal="right"/>
    </xf>
    <xf numFmtId="0" fontId="12" fillId="0" borderId="0" xfId="1" applyFont="1" applyAlignment="1">
      <alignment horizontal="right"/>
    </xf>
    <xf numFmtId="3" fontId="55" fillId="0" borderId="0" xfId="1" applyNumberFormat="1" applyFont="1"/>
    <xf numFmtId="0" fontId="7" fillId="0" borderId="0" xfId="1" applyFont="1" applyAlignment="1">
      <alignment horizontal="right"/>
    </xf>
    <xf numFmtId="0" fontId="9" fillId="0" borderId="0" xfId="1" applyFont="1" applyAlignment="1">
      <alignment horizontal="left"/>
    </xf>
    <xf numFmtId="0" fontId="14" fillId="0" borderId="0" xfId="1" applyFont="1" applyAlignment="1">
      <alignment horizontal="right" vertical="center" wrapText="1"/>
    </xf>
    <xf numFmtId="3" fontId="55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0" fontId="12" fillId="4" borderId="709" xfId="1" applyFont="1" applyFill="1" applyBorder="1" applyAlignment="1">
      <alignment horizontal="center" vertical="center"/>
    </xf>
    <xf numFmtId="0" fontId="7" fillId="0" borderId="709" xfId="1" applyFont="1" applyBorder="1" applyAlignment="1">
      <alignment horizontal="center" vertical="center"/>
    </xf>
    <xf numFmtId="3" fontId="7" fillId="0" borderId="709" xfId="1" applyNumberFormat="1" applyFont="1" applyBorder="1" applyAlignment="1">
      <alignment horizontal="right" vertical="center"/>
    </xf>
    <xf numFmtId="3" fontId="7" fillId="0" borderId="709" xfId="1" applyNumberFormat="1" applyFont="1" applyBorder="1" applyAlignment="1">
      <alignment vertical="center" wrapText="1"/>
    </xf>
    <xf numFmtId="3" fontId="12" fillId="4" borderId="705" xfId="1" applyNumberFormat="1" applyFont="1" applyFill="1" applyBorder="1" applyAlignment="1">
      <alignment horizontal="right" vertical="center"/>
    </xf>
    <xf numFmtId="3" fontId="12" fillId="4" borderId="701" xfId="1" applyNumberFormat="1" applyFont="1" applyFill="1" applyBorder="1" applyAlignment="1">
      <alignment vertical="center"/>
    </xf>
    <xf numFmtId="49" fontId="12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horizontal="right" vertical="center"/>
    </xf>
    <xf numFmtId="3" fontId="12" fillId="0" borderId="0" xfId="1" applyNumberFormat="1" applyFont="1" applyAlignment="1">
      <alignment vertical="center"/>
    </xf>
    <xf numFmtId="0" fontId="7" fillId="0" borderId="708" xfId="1" applyFont="1" applyBorder="1" applyAlignment="1">
      <alignment horizontal="center" vertical="center"/>
    </xf>
    <xf numFmtId="3" fontId="7" fillId="0" borderId="716" xfId="1" applyNumberFormat="1" applyFont="1" applyBorder="1" applyAlignment="1">
      <alignment horizontal="left" vertical="center" wrapText="1"/>
    </xf>
    <xf numFmtId="0" fontId="105" fillId="0" borderId="0" xfId="1" applyFont="1" applyFill="1" applyBorder="1"/>
    <xf numFmtId="3" fontId="41" fillId="0" borderId="0" xfId="1" applyNumberFormat="1" applyFont="1" applyBorder="1" applyAlignment="1"/>
    <xf numFmtId="3" fontId="41" fillId="0" borderId="0" xfId="1" applyNumberFormat="1" applyFont="1" applyBorder="1"/>
    <xf numFmtId="0" fontId="105" fillId="0" borderId="0" xfId="1" applyFont="1" applyFill="1"/>
    <xf numFmtId="3" fontId="5" fillId="0" borderId="0" xfId="1" applyNumberFormat="1" applyAlignment="1"/>
    <xf numFmtId="3" fontId="5" fillId="0" borderId="0" xfId="1" applyNumberFormat="1" applyFont="1" applyBorder="1"/>
    <xf numFmtId="0" fontId="72" fillId="0" borderId="0" xfId="1" applyFont="1" applyFill="1"/>
    <xf numFmtId="0" fontId="105" fillId="0" borderId="0" xfId="1" applyFont="1" applyBorder="1"/>
    <xf numFmtId="0" fontId="105" fillId="0" borderId="0" xfId="1" applyFont="1"/>
    <xf numFmtId="0" fontId="41" fillId="0" borderId="0" xfId="1" applyFont="1" applyBorder="1"/>
    <xf numFmtId="0" fontId="105" fillId="0" borderId="0" xfId="1" applyFont="1" applyBorder="1" applyAlignment="1">
      <alignment horizontal="right"/>
    </xf>
    <xf numFmtId="3" fontId="105" fillId="0" borderId="0" xfId="1" applyNumberFormat="1" applyFont="1" applyBorder="1"/>
    <xf numFmtId="0" fontId="105" fillId="0" borderId="0" xfId="1" applyFont="1" applyAlignment="1">
      <alignment horizontal="right"/>
    </xf>
    <xf numFmtId="3" fontId="55" fillId="0" borderId="0" xfId="1" applyNumberFormat="1" applyFont="1" applyAlignment="1"/>
    <xf numFmtId="0" fontId="72" fillId="0" borderId="0" xfId="1" applyFont="1"/>
    <xf numFmtId="3" fontId="41" fillId="0" borderId="0" xfId="1" applyNumberFormat="1" applyFont="1" applyBorder="1" applyAlignment="1">
      <alignment horizontal="right"/>
    </xf>
    <xf numFmtId="0" fontId="41" fillId="0" borderId="0" xfId="1" applyFont="1" applyAlignment="1">
      <alignment horizontal="left"/>
    </xf>
    <xf numFmtId="0" fontId="7" fillId="0" borderId="709" xfId="1" applyFont="1" applyFill="1" applyBorder="1" applyAlignment="1">
      <alignment horizontal="center" vertical="center"/>
    </xf>
    <xf numFmtId="0" fontId="7" fillId="0" borderId="711" xfId="1" applyFont="1" applyFill="1" applyBorder="1" applyAlignment="1">
      <alignment horizontal="center" vertical="center"/>
    </xf>
    <xf numFmtId="3" fontId="7" fillId="0" borderId="711" xfId="1" applyNumberFormat="1" applyFont="1" applyFill="1" applyBorder="1" applyAlignment="1">
      <alignment horizontal="right" vertical="center" wrapText="1"/>
    </xf>
    <xf numFmtId="3" fontId="7" fillId="0" borderId="711" xfId="1" applyNumberFormat="1" applyFont="1" applyFill="1" applyBorder="1" applyAlignment="1">
      <alignment horizontal="right" vertical="center"/>
    </xf>
    <xf numFmtId="3" fontId="7" fillId="0" borderId="709" xfId="1" applyNumberFormat="1" applyFont="1" applyFill="1" applyBorder="1" applyAlignment="1">
      <alignment horizontal="right" vertical="center" wrapText="1"/>
    </xf>
    <xf numFmtId="3" fontId="7" fillId="0" borderId="709" xfId="1" applyNumberFormat="1" applyFont="1" applyFill="1" applyBorder="1" applyAlignment="1">
      <alignment horizontal="right" vertical="center"/>
    </xf>
    <xf numFmtId="0" fontId="7" fillId="0" borderId="708" xfId="1" applyFont="1" applyFill="1" applyBorder="1" applyAlignment="1">
      <alignment horizontal="center" vertical="center"/>
    </xf>
    <xf numFmtId="0" fontId="7" fillId="0" borderId="710" xfId="1" applyFont="1" applyFill="1" applyBorder="1" applyAlignment="1">
      <alignment vertical="center" wrapText="1"/>
    </xf>
    <xf numFmtId="0" fontId="7" fillId="0" borderId="712" xfId="1" applyFont="1" applyFill="1" applyBorder="1" applyAlignment="1">
      <alignment horizontal="center" vertical="center"/>
    </xf>
    <xf numFmtId="3" fontId="7" fillId="0" borderId="712" xfId="1" applyNumberFormat="1" applyFont="1" applyFill="1" applyBorder="1" applyAlignment="1">
      <alignment horizontal="right" vertical="center"/>
    </xf>
    <xf numFmtId="0" fontId="7" fillId="0" borderId="713" xfId="1" applyFont="1" applyFill="1" applyBorder="1" applyAlignment="1">
      <alignment horizontal="center" vertical="center"/>
    </xf>
    <xf numFmtId="3" fontId="73" fillId="0" borderId="0" xfId="1" applyNumberFormat="1" applyFont="1"/>
    <xf numFmtId="3" fontId="7" fillId="0" borderId="715" xfId="1" applyNumberFormat="1" applyFont="1" applyFill="1" applyBorder="1" applyAlignment="1">
      <alignment horizontal="right" vertical="center"/>
    </xf>
    <xf numFmtId="3" fontId="7" fillId="0" borderId="715" xfId="1" applyNumberFormat="1" applyFont="1" applyFill="1" applyBorder="1" applyAlignment="1">
      <alignment horizontal="right" vertical="center" wrapText="1"/>
    </xf>
    <xf numFmtId="0" fontId="7" fillId="0" borderId="102" xfId="1" applyFont="1" applyFill="1" applyBorder="1" applyAlignment="1">
      <alignment horizontal="center" vertical="center"/>
    </xf>
    <xf numFmtId="0" fontId="7" fillId="0" borderId="167" xfId="1" applyFont="1" applyFill="1" applyBorder="1" applyAlignment="1">
      <alignment horizontal="center" vertical="center"/>
    </xf>
    <xf numFmtId="0" fontId="7" fillId="0" borderId="717" xfId="1" applyFont="1" applyFill="1" applyBorder="1" applyAlignment="1">
      <alignment horizontal="left" vertical="center" wrapText="1"/>
    </xf>
    <xf numFmtId="3" fontId="12" fillId="4" borderId="700" xfId="1" applyNumberFormat="1" applyFont="1" applyFill="1" applyBorder="1" applyAlignment="1">
      <alignment horizontal="right" vertical="center"/>
    </xf>
    <xf numFmtId="3" fontId="74" fillId="0" borderId="0" xfId="1" applyNumberFormat="1" applyFont="1"/>
    <xf numFmtId="0" fontId="41" fillId="0" borderId="0" xfId="1" applyFont="1" applyAlignment="1">
      <alignment horizontal="right"/>
    </xf>
    <xf numFmtId="3" fontId="5" fillId="0" borderId="709" xfId="1" applyNumberFormat="1" applyFont="1" applyFill="1" applyBorder="1" applyAlignment="1">
      <alignment horizontal="right" vertical="center"/>
    </xf>
    <xf numFmtId="0" fontId="7" fillId="0" borderId="710" xfId="1" applyFont="1" applyFill="1" applyBorder="1" applyAlignment="1">
      <alignment horizontal="left" vertical="center" wrapText="1"/>
    </xf>
    <xf numFmtId="0" fontId="72" fillId="0" borderId="0" xfId="1" applyFont="1" applyAlignment="1">
      <alignment horizontal="right"/>
    </xf>
    <xf numFmtId="3" fontId="72" fillId="0" borderId="0" xfId="1" applyNumberFormat="1" applyFont="1" applyAlignment="1">
      <alignment vertical="center"/>
    </xf>
    <xf numFmtId="3" fontId="5" fillId="0" borderId="0" xfId="1" applyNumberFormat="1" applyAlignment="1">
      <alignment vertical="center"/>
    </xf>
    <xf numFmtId="0" fontId="5" fillId="0" borderId="0" xfId="1" applyFont="1" applyAlignment="1">
      <alignment horizontal="center"/>
    </xf>
    <xf numFmtId="3" fontId="5" fillId="0" borderId="0" xfId="1" applyNumberFormat="1" applyFont="1" applyAlignment="1">
      <alignment horizontal="center"/>
    </xf>
    <xf numFmtId="3" fontId="74" fillId="0" borderId="0" xfId="1" applyNumberFormat="1" applyFont="1" applyAlignment="1">
      <alignment horizontal="center"/>
    </xf>
    <xf numFmtId="3" fontId="7" fillId="0" borderId="710" xfId="1" applyNumberFormat="1" applyFont="1" applyBorder="1" applyAlignment="1">
      <alignment horizontal="left" vertical="center" wrapText="1"/>
    </xf>
    <xf numFmtId="3" fontId="7" fillId="0" borderId="709" xfId="1" applyNumberFormat="1" applyFont="1" applyBorder="1" applyAlignment="1">
      <alignment horizontal="right" vertical="center" wrapText="1"/>
    </xf>
    <xf numFmtId="0" fontId="5" fillId="0" borderId="0" xfId="1" applyFont="1" applyAlignment="1">
      <alignment horizontal="left"/>
    </xf>
    <xf numFmtId="3" fontId="74" fillId="0" borderId="0" xfId="1" applyNumberFormat="1" applyFont="1" applyAlignment="1">
      <alignment horizontal="right"/>
    </xf>
    <xf numFmtId="3" fontId="66" fillId="0" borderId="0" xfId="1" applyNumberFormat="1" applyFont="1" applyAlignment="1">
      <alignment vertical="center"/>
    </xf>
    <xf numFmtId="3" fontId="66" fillId="0" borderId="0" xfId="1" applyNumberFormat="1" applyFont="1" applyAlignment="1">
      <alignment horizontal="right" vertical="center"/>
    </xf>
    <xf numFmtId="49" fontId="66" fillId="0" borderId="0" xfId="1" applyNumberFormat="1" applyFont="1" applyAlignment="1">
      <alignment horizontal="center" vertical="center"/>
    </xf>
    <xf numFmtId="0" fontId="7" fillId="0" borderId="8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19" xfId="4" applyFont="1" applyBorder="1" applyAlignment="1">
      <alignment horizontal="left" vertical="center" wrapText="1"/>
    </xf>
    <xf numFmtId="0" fontId="7" fillId="0" borderId="14" xfId="4" applyFont="1" applyBorder="1" applyAlignment="1">
      <alignment horizontal="left" vertical="center" wrapText="1"/>
    </xf>
    <xf numFmtId="3" fontId="7" fillId="6" borderId="718" xfId="1" applyNumberFormat="1" applyFont="1" applyFill="1" applyBorder="1" applyAlignment="1">
      <alignment horizontal="right" vertical="center" wrapText="1"/>
    </xf>
    <xf numFmtId="0" fontId="7" fillId="6" borderId="636" xfId="1" applyFont="1" applyFill="1" applyBorder="1" applyAlignment="1">
      <alignment horizontal="left" vertical="center" wrapText="1"/>
    </xf>
    <xf numFmtId="3" fontId="7" fillId="6" borderId="719" xfId="1" applyNumberFormat="1" applyFont="1" applyFill="1" applyBorder="1" applyAlignment="1">
      <alignment horizontal="right" vertical="center" wrapText="1"/>
    </xf>
    <xf numFmtId="3" fontId="38" fillId="6" borderId="720" xfId="0" applyNumberFormat="1" applyFont="1" applyFill="1" applyBorder="1" applyAlignment="1">
      <alignment vertical="center"/>
    </xf>
    <xf numFmtId="0" fontId="7" fillId="0" borderId="713" xfId="1" applyNumberFormat="1" applyFont="1" applyBorder="1" applyAlignment="1">
      <alignment horizontal="center" vertical="center"/>
    </xf>
    <xf numFmtId="3" fontId="7" fillId="6" borderId="711" xfId="1" applyNumberFormat="1" applyFont="1" applyFill="1" applyBorder="1" applyAlignment="1">
      <alignment horizontal="right" vertical="center"/>
    </xf>
    <xf numFmtId="3" fontId="7" fillId="6" borderId="714" xfId="1" applyNumberFormat="1" applyFont="1" applyFill="1" applyBorder="1" applyAlignment="1">
      <alignment horizontal="right" vertical="center"/>
    </xf>
    <xf numFmtId="0" fontId="7" fillId="0" borderId="636" xfId="1" applyFont="1" applyBorder="1" applyAlignment="1">
      <alignment horizontal="left" vertical="center" wrapText="1"/>
    </xf>
    <xf numFmtId="49" fontId="59" fillId="0" borderId="17" xfId="10" applyNumberFormat="1" applyFont="1" applyFill="1" applyBorder="1" applyAlignment="1" applyProtection="1">
      <alignment horizontal="center" vertical="center" wrapText="1"/>
      <protection locked="0"/>
    </xf>
    <xf numFmtId="10" fontId="59" fillId="0" borderId="721" xfId="10" applyNumberFormat="1" applyFont="1" applyFill="1" applyBorder="1" applyAlignment="1" applyProtection="1">
      <alignment horizontal="right" vertical="center"/>
      <protection locked="0"/>
    </xf>
    <xf numFmtId="3" fontId="59" fillId="0" borderId="123" xfId="10" applyNumberFormat="1" applyFont="1" applyFill="1" applyBorder="1" applyAlignment="1" applyProtection="1">
      <alignment horizontal="right" vertical="center"/>
      <protection locked="0"/>
    </xf>
    <xf numFmtId="3" fontId="62" fillId="0" borderId="722" xfId="10" applyNumberFormat="1" applyFont="1" applyFill="1" applyBorder="1" applyAlignment="1" applyProtection="1">
      <alignment horizontal="right" vertical="center"/>
      <protection locked="0"/>
    </xf>
    <xf numFmtId="3" fontId="62" fillId="0" borderId="723" xfId="10" applyNumberFormat="1" applyFont="1" applyFill="1" applyBorder="1" applyAlignment="1" applyProtection="1">
      <alignment horizontal="right" vertical="center"/>
      <protection locked="0"/>
    </xf>
    <xf numFmtId="0" fontId="20" fillId="0" borderId="183" xfId="1" applyNumberFormat="1" applyFont="1" applyBorder="1" applyAlignment="1">
      <alignment horizontal="center" vertical="center" wrapText="1"/>
    </xf>
    <xf numFmtId="3" fontId="20" fillId="6" borderId="182" xfId="1" applyNumberFormat="1" applyFont="1" applyFill="1" applyBorder="1" applyAlignment="1">
      <alignment horizontal="right" vertical="center" wrapText="1"/>
    </xf>
    <xf numFmtId="3" fontId="20" fillId="0" borderId="19" xfId="1" applyNumberFormat="1" applyFont="1" applyBorder="1" applyAlignment="1">
      <alignment horizontal="right" vertical="center" wrapText="1"/>
    </xf>
    <xf numFmtId="0" fontId="20" fillId="0" borderId="7" xfId="1" applyNumberFormat="1" applyFont="1" applyBorder="1" applyAlignment="1">
      <alignment horizontal="center" vertical="center" wrapText="1"/>
    </xf>
    <xf numFmtId="3" fontId="20" fillId="6" borderId="699" xfId="1" applyNumberFormat="1" applyFont="1" applyFill="1" applyBorder="1" applyAlignment="1">
      <alignment horizontal="right" vertical="center" wrapText="1"/>
    </xf>
    <xf numFmtId="3" fontId="20" fillId="0" borderId="7" xfId="1" applyNumberFormat="1" applyFont="1" applyBorder="1" applyAlignment="1">
      <alignment horizontal="right" vertical="center" wrapText="1"/>
    </xf>
    <xf numFmtId="49" fontId="20" fillId="0" borderId="720" xfId="1" applyNumberFormat="1" applyFont="1" applyBorder="1" applyAlignment="1">
      <alignment horizontal="center" vertical="center" wrapText="1"/>
    </xf>
    <xf numFmtId="3" fontId="20" fillId="0" borderId="719" xfId="1" applyNumberFormat="1" applyFont="1" applyBorder="1" applyAlignment="1">
      <alignment horizontal="right" vertical="center"/>
    </xf>
    <xf numFmtId="3" fontId="20" fillId="0" borderId="720" xfId="1" applyNumberFormat="1" applyFont="1" applyBorder="1" applyAlignment="1">
      <alignment horizontal="right" vertical="center"/>
    </xf>
    <xf numFmtId="3" fontId="11" fillId="4" borderId="133" xfId="1" applyNumberFormat="1" applyFont="1" applyFill="1" applyBorder="1" applyAlignment="1">
      <alignment horizontal="right" vertical="center"/>
    </xf>
    <xf numFmtId="3" fontId="11" fillId="4" borderId="134" xfId="1" applyNumberFormat="1" applyFont="1" applyFill="1" applyBorder="1" applyAlignment="1">
      <alignment horizontal="right" vertical="center"/>
    </xf>
    <xf numFmtId="0" fontId="20" fillId="6" borderId="6" xfId="0" applyFont="1" applyFill="1" applyBorder="1" applyAlignment="1">
      <alignment horizontal="left" vertical="center" wrapText="1"/>
    </xf>
    <xf numFmtId="3" fontId="48" fillId="0" borderId="0" xfId="15" applyNumberFormat="1" applyFont="1" applyBorder="1" applyAlignment="1">
      <alignment horizontal="left" vertical="center" wrapText="1"/>
    </xf>
    <xf numFmtId="0" fontId="42" fillId="0" borderId="0" xfId="15" applyFont="1" applyBorder="1" applyAlignment="1">
      <alignment horizontal="center" vertical="center" wrapText="1"/>
    </xf>
    <xf numFmtId="0" fontId="11" fillId="2" borderId="4" xfId="15" applyFont="1" applyFill="1" applyBorder="1" applyAlignment="1">
      <alignment horizontal="center" vertical="center" wrapText="1"/>
    </xf>
    <xf numFmtId="0" fontId="11" fillId="2" borderId="12" xfId="15" applyFont="1" applyFill="1" applyBorder="1" applyAlignment="1">
      <alignment horizontal="center" vertical="center" wrapText="1"/>
    </xf>
    <xf numFmtId="0" fontId="33" fillId="2" borderId="4" xfId="15" applyFont="1" applyFill="1" applyBorder="1" applyAlignment="1">
      <alignment horizontal="center" vertical="center" wrapText="1"/>
    </xf>
    <xf numFmtId="0" fontId="11" fillId="2" borderId="9" xfId="15" applyFont="1" applyFill="1" applyBorder="1" applyAlignment="1">
      <alignment horizontal="center" vertical="center" wrapText="1"/>
    </xf>
    <xf numFmtId="10" fontId="11" fillId="2" borderId="19" xfId="15" applyNumberFormat="1" applyFont="1" applyFill="1" applyBorder="1" applyAlignment="1">
      <alignment horizontal="center" vertical="center" wrapText="1"/>
    </xf>
    <xf numFmtId="10" fontId="11" fillId="2" borderId="14" xfId="15" applyNumberFormat="1" applyFont="1" applyFill="1" applyBorder="1" applyAlignment="1">
      <alignment horizontal="center" vertical="center" wrapText="1"/>
    </xf>
    <xf numFmtId="0" fontId="78" fillId="6" borderId="150" xfId="15" applyFont="1" applyFill="1" applyBorder="1" applyAlignment="1">
      <alignment horizontal="center" vertical="center" wrapText="1"/>
    </xf>
    <xf numFmtId="0" fontId="78" fillId="6" borderId="14" xfId="15" applyFont="1" applyFill="1" applyBorder="1" applyAlignment="1">
      <alignment horizontal="center" vertical="center" wrapText="1"/>
    </xf>
    <xf numFmtId="0" fontId="8" fillId="8" borderId="141" xfId="15" applyFont="1" applyFill="1" applyBorder="1" applyAlignment="1">
      <alignment horizontal="left" vertical="center" wrapText="1"/>
    </xf>
    <xf numFmtId="0" fontId="8" fillId="8" borderId="142" xfId="15" quotePrefix="1" applyFont="1" applyFill="1" applyBorder="1" applyAlignment="1">
      <alignment horizontal="left" vertical="center" wrapText="1"/>
    </xf>
    <xf numFmtId="10" fontId="33" fillId="2" borderId="19" xfId="15" applyNumberFormat="1" applyFont="1" applyFill="1" applyBorder="1" applyAlignment="1">
      <alignment horizontal="center" vertical="center" wrapText="1"/>
    </xf>
    <xf numFmtId="10" fontId="33" fillId="2" borderId="14" xfId="15" applyNumberFormat="1" applyFont="1" applyFill="1" applyBorder="1" applyAlignment="1">
      <alignment horizontal="center" vertical="center" wrapText="1"/>
    </xf>
    <xf numFmtId="0" fontId="68" fillId="0" borderId="17" xfId="15" quotePrefix="1" applyFont="1" applyFill="1" applyBorder="1" applyAlignment="1">
      <alignment horizontal="center" vertical="center" wrapText="1"/>
    </xf>
    <xf numFmtId="0" fontId="8" fillId="8" borderId="136" xfId="15" applyFont="1" applyFill="1" applyBorder="1" applyAlignment="1">
      <alignment horizontal="left" vertical="center" wrapText="1"/>
    </xf>
    <xf numFmtId="0" fontId="12" fillId="0" borderId="5" xfId="15" quotePrefix="1" applyFont="1" applyFill="1" applyBorder="1" applyAlignment="1">
      <alignment horizontal="center" vertical="center" wrapText="1"/>
    </xf>
    <xf numFmtId="0" fontId="7" fillId="6" borderId="0" xfId="15" applyFont="1" applyFill="1" applyBorder="1" applyAlignment="1">
      <alignment horizontal="left" vertical="center" wrapText="1"/>
    </xf>
    <xf numFmtId="0" fontId="8" fillId="8" borderId="180" xfId="15" applyFont="1" applyFill="1" applyBorder="1" applyAlignment="1">
      <alignment horizontal="left" vertical="center" wrapText="1"/>
    </xf>
    <xf numFmtId="0" fontId="8" fillId="6" borderId="17" xfId="15" applyFont="1" applyFill="1" applyBorder="1" applyAlignment="1">
      <alignment horizontal="center" vertical="center" wrapText="1"/>
    </xf>
    <xf numFmtId="0" fontId="8" fillId="6" borderId="18" xfId="15" applyFont="1" applyFill="1" applyBorder="1" applyAlignment="1">
      <alignment horizontal="center" vertical="center" wrapText="1"/>
    </xf>
    <xf numFmtId="0" fontId="8" fillId="8" borderId="146" xfId="15" applyFont="1" applyFill="1" applyBorder="1" applyAlignment="1">
      <alignment horizontal="left" vertical="center" wrapText="1"/>
    </xf>
    <xf numFmtId="0" fontId="8" fillId="8" borderId="148" xfId="15" quotePrefix="1" applyFont="1" applyFill="1" applyBorder="1" applyAlignment="1">
      <alignment horizontal="left" vertical="center" wrapText="1"/>
    </xf>
    <xf numFmtId="49" fontId="8" fillId="8" borderId="182" xfId="15" applyNumberFormat="1" applyFont="1" applyFill="1" applyBorder="1" applyAlignment="1">
      <alignment horizontal="left" vertical="center" wrapText="1"/>
    </xf>
    <xf numFmtId="49" fontId="8" fillId="8" borderId="175" xfId="15" applyNumberFormat="1" applyFont="1" applyFill="1" applyBorder="1" applyAlignment="1">
      <alignment horizontal="left" vertical="center" wrapText="1"/>
    </xf>
    <xf numFmtId="49" fontId="8" fillId="8" borderId="180" xfId="15" applyNumberFormat="1" applyFont="1" applyFill="1" applyBorder="1" applyAlignment="1">
      <alignment horizontal="left" vertical="center" wrapText="1"/>
    </xf>
    <xf numFmtId="49" fontId="69" fillId="8" borderId="182" xfId="15" applyNumberFormat="1" applyFont="1" applyFill="1" applyBorder="1" applyAlignment="1">
      <alignment horizontal="left" vertical="center" wrapText="1"/>
    </xf>
    <xf numFmtId="49" fontId="69" fillId="8" borderId="158" xfId="15" applyNumberFormat="1" applyFont="1" applyFill="1" applyBorder="1" applyAlignment="1">
      <alignment horizontal="left" vertical="center" wrapText="1"/>
    </xf>
    <xf numFmtId="49" fontId="69" fillId="8" borderId="55" xfId="15" applyNumberFormat="1" applyFont="1" applyFill="1" applyBorder="1" applyAlignment="1">
      <alignment horizontal="left" vertical="center" wrapText="1"/>
    </xf>
    <xf numFmtId="0" fontId="69" fillId="8" borderId="141" xfId="15" applyFont="1" applyFill="1" applyBorder="1" applyAlignment="1">
      <alignment horizontal="left" vertical="center" wrapText="1"/>
    </xf>
    <xf numFmtId="0" fontId="69" fillId="8" borderId="142" xfId="15" quotePrefix="1" applyFont="1" applyFill="1" applyBorder="1" applyAlignment="1">
      <alignment horizontal="left" vertical="center" wrapText="1"/>
    </xf>
    <xf numFmtId="0" fontId="69" fillId="6" borderId="147" xfId="15" applyFont="1" applyFill="1" applyBorder="1" applyAlignment="1">
      <alignment horizontal="center" vertical="center" wrapText="1"/>
    </xf>
    <xf numFmtId="0" fontId="69" fillId="6" borderId="102" xfId="15" applyFont="1" applyFill="1" applyBorder="1" applyAlignment="1">
      <alignment horizontal="center" vertical="center" wrapText="1"/>
    </xf>
    <xf numFmtId="0" fontId="69" fillId="6" borderId="35" xfId="15" applyFont="1" applyFill="1" applyBorder="1" applyAlignment="1">
      <alignment horizontal="center" vertical="center" wrapText="1"/>
    </xf>
    <xf numFmtId="0" fontId="69" fillId="8" borderId="146" xfId="15" applyFont="1" applyFill="1" applyBorder="1" applyAlignment="1">
      <alignment horizontal="left" vertical="center" wrapText="1"/>
    </xf>
    <xf numFmtId="0" fontId="69" fillId="8" borderId="148" xfId="15" quotePrefix="1" applyFont="1" applyFill="1" applyBorder="1" applyAlignment="1">
      <alignment horizontal="left" vertical="center" wrapText="1"/>
    </xf>
    <xf numFmtId="0" fontId="12" fillId="0" borderId="19" xfId="15" quotePrefix="1" applyFont="1" applyFill="1" applyBorder="1" applyAlignment="1">
      <alignment horizontal="center" vertical="center" wrapText="1"/>
    </xf>
    <xf numFmtId="0" fontId="12" fillId="0" borderId="17" xfId="15" quotePrefix="1" applyFont="1" applyFill="1" applyBorder="1" applyAlignment="1">
      <alignment horizontal="center" vertical="center" wrapText="1"/>
    </xf>
    <xf numFmtId="0" fontId="8" fillId="8" borderId="156" xfId="15" quotePrefix="1" applyFont="1" applyFill="1" applyBorder="1" applyAlignment="1">
      <alignment horizontal="left" vertical="center" wrapText="1"/>
    </xf>
    <xf numFmtId="0" fontId="8" fillId="8" borderId="175" xfId="15" applyFont="1" applyFill="1" applyBorder="1" applyAlignment="1">
      <alignment horizontal="left" vertical="center" wrapText="1"/>
    </xf>
    <xf numFmtId="0" fontId="8" fillId="8" borderId="180" xfId="15" quotePrefix="1" applyFont="1" applyFill="1" applyBorder="1" applyAlignment="1">
      <alignment horizontal="left" vertical="center" wrapText="1"/>
    </xf>
    <xf numFmtId="0" fontId="56" fillId="8" borderId="6" xfId="15" applyFont="1" applyFill="1" applyBorder="1" applyAlignment="1">
      <alignment horizontal="left" vertical="center" wrapText="1"/>
    </xf>
    <xf numFmtId="0" fontId="56" fillId="8" borderId="0" xfId="15" applyFont="1" applyFill="1" applyBorder="1" applyAlignment="1">
      <alignment horizontal="left" vertical="center" wrapText="1"/>
    </xf>
    <xf numFmtId="0" fontId="31" fillId="6" borderId="150" xfId="15" applyFont="1" applyFill="1" applyBorder="1" applyAlignment="1">
      <alignment horizontal="center" vertical="center" wrapText="1"/>
    </xf>
    <xf numFmtId="0" fontId="31" fillId="6" borderId="17" xfId="15" applyFont="1" applyFill="1" applyBorder="1" applyAlignment="1">
      <alignment horizontal="center" vertical="center" wrapText="1"/>
    </xf>
    <xf numFmtId="0" fontId="31" fillId="6" borderId="18" xfId="15" applyFont="1" applyFill="1" applyBorder="1" applyAlignment="1">
      <alignment horizontal="center" vertical="center" wrapText="1"/>
    </xf>
    <xf numFmtId="0" fontId="31" fillId="0" borderId="158" xfId="15" quotePrefix="1" applyFont="1" applyFill="1" applyBorder="1" applyAlignment="1">
      <alignment horizontal="left" vertical="center" wrapText="1"/>
    </xf>
    <xf numFmtId="0" fontId="31" fillId="0" borderId="144" xfId="15" quotePrefix="1" applyFont="1" applyFill="1" applyBorder="1" applyAlignment="1">
      <alignment horizontal="left" vertical="center" wrapText="1"/>
    </xf>
    <xf numFmtId="0" fontId="8" fillId="8" borderId="0" xfId="15" applyFont="1" applyFill="1" applyBorder="1" applyAlignment="1">
      <alignment horizontal="left" vertical="center" wrapText="1"/>
    </xf>
    <xf numFmtId="0" fontId="8" fillId="8" borderId="0" xfId="15" quotePrefix="1" applyFont="1" applyFill="1" applyBorder="1" applyAlignment="1">
      <alignment horizontal="left" vertical="center" wrapText="1"/>
    </xf>
    <xf numFmtId="0" fontId="8" fillId="0" borderId="150" xfId="15" applyFont="1" applyFill="1" applyBorder="1" applyAlignment="1">
      <alignment horizontal="center" vertical="center" wrapText="1"/>
    </xf>
    <xf numFmtId="0" fontId="8" fillId="0" borderId="18" xfId="15" applyFont="1" applyFill="1" applyBorder="1" applyAlignment="1">
      <alignment horizontal="center" vertical="center" wrapText="1"/>
    </xf>
    <xf numFmtId="0" fontId="8" fillId="8" borderId="158" xfId="15" applyFont="1" applyFill="1" applyBorder="1" applyAlignment="1">
      <alignment horizontal="left" vertical="center" wrapText="1"/>
    </xf>
    <xf numFmtId="0" fontId="8" fillId="8" borderId="143" xfId="15" quotePrefix="1" applyFont="1" applyFill="1" applyBorder="1" applyAlignment="1">
      <alignment horizontal="left" vertical="center" wrapText="1"/>
    </xf>
    <xf numFmtId="0" fontId="8" fillId="8" borderId="56" xfId="15" applyFont="1" applyFill="1" applyBorder="1" applyAlignment="1">
      <alignment horizontal="left" vertical="center" wrapText="1"/>
    </xf>
    <xf numFmtId="0" fontId="8" fillId="8" borderId="27" xfId="15" quotePrefix="1" applyFont="1" applyFill="1" applyBorder="1" applyAlignment="1">
      <alignment horizontal="left" vertical="center" wrapText="1"/>
    </xf>
    <xf numFmtId="0" fontId="56" fillId="8" borderId="0" xfId="15" quotePrefix="1" applyFont="1" applyFill="1" applyBorder="1" applyAlignment="1">
      <alignment horizontal="left" vertical="center" wrapText="1"/>
    </xf>
    <xf numFmtId="0" fontId="56" fillId="8" borderId="175" xfId="15" applyFont="1" applyFill="1" applyBorder="1" applyAlignment="1">
      <alignment horizontal="left" vertical="center" wrapText="1"/>
    </xf>
    <xf numFmtId="0" fontId="56" fillId="8" borderId="180" xfId="15" quotePrefix="1" applyFont="1" applyFill="1" applyBorder="1" applyAlignment="1">
      <alignment horizontal="left" vertical="center" wrapText="1"/>
    </xf>
    <xf numFmtId="0" fontId="56" fillId="8" borderId="181" xfId="15" applyFont="1" applyFill="1" applyBorder="1" applyAlignment="1">
      <alignment horizontal="left" vertical="center" wrapText="1"/>
    </xf>
    <xf numFmtId="0" fontId="56" fillId="8" borderId="181" xfId="15" quotePrefix="1" applyFont="1" applyFill="1" applyBorder="1" applyAlignment="1">
      <alignment horizontal="left" vertical="center" wrapText="1"/>
    </xf>
    <xf numFmtId="0" fontId="56" fillId="6" borderId="150" xfId="15" applyFont="1" applyFill="1" applyBorder="1" applyAlignment="1">
      <alignment horizontal="center" vertical="center" wrapText="1"/>
    </xf>
    <xf numFmtId="0" fontId="56" fillId="6" borderId="17" xfId="15" applyFont="1" applyFill="1" applyBorder="1" applyAlignment="1">
      <alignment horizontal="center" vertical="center" wrapText="1"/>
    </xf>
    <xf numFmtId="0" fontId="51" fillId="0" borderId="5" xfId="15" applyFont="1" applyFill="1" applyBorder="1" applyAlignment="1">
      <alignment horizontal="left" vertical="center" wrapText="1"/>
    </xf>
    <xf numFmtId="0" fontId="51" fillId="0" borderId="126" xfId="15" applyFont="1" applyFill="1" applyBorder="1" applyAlignment="1">
      <alignment horizontal="left" vertical="center" wrapText="1"/>
    </xf>
    <xf numFmtId="0" fontId="56" fillId="8" borderId="144" xfId="15" applyFont="1" applyFill="1" applyBorder="1" applyAlignment="1">
      <alignment horizontal="left" vertical="center" wrapText="1"/>
    </xf>
    <xf numFmtId="0" fontId="56" fillId="8" borderId="156" xfId="15" quotePrefix="1" applyFont="1" applyFill="1" applyBorder="1" applyAlignment="1">
      <alignment horizontal="left" vertical="center" wrapText="1"/>
    </xf>
    <xf numFmtId="0" fontId="78" fillId="0" borderId="19" xfId="15" applyFont="1" applyBorder="1" applyAlignment="1">
      <alignment horizontal="center" vertical="center" wrapText="1"/>
    </xf>
    <xf numFmtId="0" fontId="78" fillId="0" borderId="17" xfId="15" applyFont="1" applyBorder="1" applyAlignment="1">
      <alignment horizontal="center" vertical="center" wrapText="1"/>
    </xf>
    <xf numFmtId="0" fontId="78" fillId="0" borderId="6" xfId="15" applyFont="1" applyBorder="1" applyAlignment="1">
      <alignment horizontal="center" vertical="center" wrapText="1"/>
    </xf>
    <xf numFmtId="0" fontId="78" fillId="0" borderId="14" xfId="15" applyFont="1" applyBorder="1" applyAlignment="1">
      <alignment horizontal="center" vertical="center" wrapText="1"/>
    </xf>
    <xf numFmtId="0" fontId="56" fillId="8" borderId="141" xfId="15" applyFont="1" applyFill="1" applyBorder="1" applyAlignment="1">
      <alignment horizontal="left" vertical="center" wrapText="1"/>
    </xf>
    <xf numFmtId="0" fontId="56" fillId="8" borderId="136" xfId="15" quotePrefix="1" applyFont="1" applyFill="1" applyBorder="1" applyAlignment="1">
      <alignment horizontal="left" vertical="center" wrapText="1"/>
    </xf>
    <xf numFmtId="0" fontId="56" fillId="6" borderId="6" xfId="15" applyFont="1" applyFill="1" applyBorder="1" applyAlignment="1">
      <alignment horizontal="center" vertical="center" wrapText="1"/>
    </xf>
    <xf numFmtId="0" fontId="56" fillId="6" borderId="18" xfId="15" applyFont="1" applyFill="1" applyBorder="1" applyAlignment="1">
      <alignment horizontal="center" vertical="center" wrapText="1"/>
    </xf>
    <xf numFmtId="0" fontId="56" fillId="8" borderId="146" xfId="15" applyFont="1" applyFill="1" applyBorder="1" applyAlignment="1">
      <alignment horizontal="left" vertical="center" wrapText="1"/>
    </xf>
    <xf numFmtId="0" fontId="56" fillId="8" borderId="148" xfId="15" applyFont="1" applyFill="1" applyBorder="1" applyAlignment="1">
      <alignment horizontal="left" vertical="center" wrapText="1"/>
    </xf>
    <xf numFmtId="0" fontId="56" fillId="6" borderId="14" xfId="15" applyFont="1" applyFill="1" applyBorder="1" applyAlignment="1">
      <alignment horizontal="center" vertical="center" wrapText="1"/>
    </xf>
    <xf numFmtId="0" fontId="56" fillId="8" borderId="8" xfId="15" applyFont="1" applyFill="1" applyBorder="1" applyAlignment="1">
      <alignment horizontal="left" vertical="center" wrapText="1"/>
    </xf>
    <xf numFmtId="0" fontId="56" fillId="8" borderId="8" xfId="15" quotePrefix="1" applyFont="1" applyFill="1" applyBorder="1" applyAlignment="1">
      <alignment horizontal="left" vertical="center" wrapText="1"/>
    </xf>
    <xf numFmtId="0" fontId="8" fillId="8" borderId="166" xfId="15" applyFont="1" applyFill="1" applyBorder="1" applyAlignment="1">
      <alignment horizontal="left" vertical="center" wrapText="1"/>
    </xf>
    <xf numFmtId="0" fontId="69" fillId="6" borderId="150" xfId="15" applyFont="1" applyFill="1" applyBorder="1" applyAlignment="1">
      <alignment horizontal="center" vertical="center" wrapText="1"/>
    </xf>
    <xf numFmtId="0" fontId="69" fillId="6" borderId="17" xfId="15" applyFont="1" applyFill="1" applyBorder="1" applyAlignment="1">
      <alignment horizontal="center" vertical="center" wrapText="1"/>
    </xf>
    <xf numFmtId="0" fontId="69" fillId="6" borderId="18" xfId="15" applyFont="1" applyFill="1" applyBorder="1" applyAlignment="1">
      <alignment horizontal="center" vertical="center" wrapText="1"/>
    </xf>
    <xf numFmtId="0" fontId="8" fillId="8" borderId="142" xfId="15" applyFont="1" applyFill="1" applyBorder="1" applyAlignment="1">
      <alignment horizontal="left" vertical="center" wrapText="1"/>
    </xf>
    <xf numFmtId="0" fontId="8" fillId="8" borderId="181" xfId="15" applyFont="1" applyFill="1" applyBorder="1" applyAlignment="1">
      <alignment horizontal="left" vertical="center" wrapText="1"/>
    </xf>
    <xf numFmtId="49" fontId="51" fillId="6" borderId="150" xfId="15" applyNumberFormat="1" applyFont="1" applyFill="1" applyBorder="1" applyAlignment="1">
      <alignment horizontal="center" vertical="center" wrapText="1"/>
    </xf>
    <xf numFmtId="49" fontId="51" fillId="6" borderId="18" xfId="15" applyNumberFormat="1" applyFont="1" applyFill="1" applyBorder="1" applyAlignment="1">
      <alignment horizontal="center" vertical="center" wrapText="1"/>
    </xf>
    <xf numFmtId="0" fontId="56" fillId="0" borderId="17" xfId="15" applyFont="1" applyFill="1" applyBorder="1" applyAlignment="1">
      <alignment horizontal="center" vertical="center" wrapText="1"/>
    </xf>
    <xf numFmtId="0" fontId="56" fillId="0" borderId="14" xfId="15" applyFont="1" applyFill="1" applyBorder="1" applyAlignment="1">
      <alignment horizontal="center" vertical="center" wrapText="1"/>
    </xf>
    <xf numFmtId="0" fontId="56" fillId="8" borderId="142" xfId="15" applyFont="1" applyFill="1" applyBorder="1" applyAlignment="1">
      <alignment horizontal="left" vertical="center" wrapText="1"/>
    </xf>
    <xf numFmtId="0" fontId="56" fillId="6" borderId="143" xfId="15" applyFont="1" applyFill="1" applyBorder="1" applyAlignment="1">
      <alignment horizontal="center" vertical="center" wrapText="1"/>
    </xf>
    <xf numFmtId="0" fontId="56" fillId="6" borderId="5" xfId="15" applyFont="1" applyFill="1" applyBorder="1" applyAlignment="1">
      <alignment horizontal="center" vertical="center" wrapText="1"/>
    </xf>
    <xf numFmtId="0" fontId="56" fillId="8" borderId="184" xfId="15" applyFont="1" applyFill="1" applyBorder="1" applyAlignment="1">
      <alignment horizontal="left" vertical="center" wrapText="1"/>
    </xf>
    <xf numFmtId="0" fontId="80" fillId="0" borderId="19" xfId="15" applyFont="1" applyBorder="1" applyAlignment="1">
      <alignment horizontal="center" vertical="center" wrapText="1"/>
    </xf>
    <xf numFmtId="0" fontId="80" fillId="0" borderId="17" xfId="15" applyFont="1" applyBorder="1" applyAlignment="1">
      <alignment horizontal="center" vertical="center" wrapText="1"/>
    </xf>
    <xf numFmtId="0" fontId="8" fillId="8" borderId="181" xfId="15" quotePrefix="1" applyFont="1" applyFill="1" applyBorder="1" applyAlignment="1">
      <alignment horizontal="left" vertical="center" wrapText="1"/>
    </xf>
    <xf numFmtId="0" fontId="52" fillId="0" borderId="158" xfId="15" applyFont="1" applyBorder="1" applyAlignment="1">
      <alignment horizontal="center" vertical="center" wrapText="1"/>
    </xf>
    <xf numFmtId="0" fontId="52" fillId="0" borderId="6" xfId="15" applyFont="1" applyBorder="1" applyAlignment="1">
      <alignment horizontal="center" vertical="center" wrapText="1"/>
    </xf>
    <xf numFmtId="0" fontId="52" fillId="0" borderId="144" xfId="15" applyFont="1" applyBorder="1" applyAlignment="1">
      <alignment horizontal="center" vertical="center" wrapText="1"/>
    </xf>
    <xf numFmtId="0" fontId="8" fillId="8" borderId="156" xfId="15" applyFont="1" applyFill="1" applyBorder="1" applyAlignment="1">
      <alignment horizontal="left" vertical="center" wrapText="1"/>
    </xf>
    <xf numFmtId="0" fontId="8" fillId="6" borderId="147" xfId="15" applyFont="1" applyFill="1" applyBorder="1" applyAlignment="1">
      <alignment horizontal="center" vertical="center" wrapText="1"/>
    </xf>
    <xf numFmtId="0" fontId="8" fillId="6" borderId="99" xfId="15" applyFont="1" applyFill="1" applyBorder="1" applyAlignment="1">
      <alignment horizontal="center" vertical="center" wrapText="1"/>
    </xf>
    <xf numFmtId="0" fontId="81" fillId="8" borderId="6" xfId="15" applyFont="1" applyFill="1" applyBorder="1" applyAlignment="1">
      <alignment horizontal="left" vertical="center" wrapText="1"/>
    </xf>
    <xf numFmtId="0" fontId="81" fillId="8" borderId="0" xfId="15" quotePrefix="1" applyFont="1" applyFill="1" applyBorder="1" applyAlignment="1">
      <alignment horizontal="left" vertical="center" wrapText="1"/>
    </xf>
    <xf numFmtId="0" fontId="49" fillId="0" borderId="150" xfId="15" applyFont="1" applyBorder="1" applyAlignment="1">
      <alignment horizontal="center" vertical="center" wrapText="1"/>
    </xf>
    <xf numFmtId="0" fontId="49" fillId="0" borderId="17" xfId="15" applyFont="1" applyBorder="1" applyAlignment="1">
      <alignment horizontal="center" vertical="center" wrapText="1"/>
    </xf>
    <xf numFmtId="0" fontId="49" fillId="0" borderId="18" xfId="15" applyFont="1" applyBorder="1" applyAlignment="1">
      <alignment horizontal="center" vertical="center" wrapText="1"/>
    </xf>
    <xf numFmtId="0" fontId="44" fillId="0" borderId="150" xfId="15" applyFont="1" applyFill="1" applyBorder="1" applyAlignment="1">
      <alignment horizontal="left" vertical="center" wrapText="1"/>
    </xf>
    <xf numFmtId="0" fontId="44" fillId="0" borderId="17" xfId="15" applyFont="1" applyFill="1" applyBorder="1" applyAlignment="1">
      <alignment horizontal="left" vertical="center" wrapText="1"/>
    </xf>
    <xf numFmtId="0" fontId="44" fillId="0" borderId="18" xfId="15" applyFont="1" applyFill="1" applyBorder="1" applyAlignment="1">
      <alignment horizontal="left" vertical="center" wrapText="1"/>
    </xf>
    <xf numFmtId="0" fontId="81" fillId="8" borderId="175" xfId="15" applyFont="1" applyFill="1" applyBorder="1" applyAlignment="1">
      <alignment horizontal="left" vertical="center" wrapText="1"/>
    </xf>
    <xf numFmtId="0" fontId="81" fillId="8" borderId="184" xfId="15" quotePrefix="1" applyFont="1" applyFill="1" applyBorder="1" applyAlignment="1">
      <alignment horizontal="left" vertical="center" wrapText="1"/>
    </xf>
    <xf numFmtId="0" fontId="8" fillId="8" borderId="136" xfId="15" quotePrefix="1" applyFont="1" applyFill="1" applyBorder="1" applyAlignment="1">
      <alignment horizontal="left" vertical="center" wrapText="1"/>
    </xf>
    <xf numFmtId="0" fontId="53" fillId="0" borderId="17" xfId="15" applyFont="1" applyFill="1" applyBorder="1" applyAlignment="1">
      <alignment horizontal="center" vertical="center" wrapText="1"/>
    </xf>
    <xf numFmtId="0" fontId="56" fillId="8" borderId="180" xfId="15" applyFont="1" applyFill="1" applyBorder="1" applyAlignment="1">
      <alignment horizontal="left" vertical="center" wrapText="1"/>
    </xf>
    <xf numFmtId="0" fontId="76" fillId="0" borderId="150" xfId="15" applyFont="1" applyBorder="1" applyAlignment="1">
      <alignment horizontal="center" vertical="center" wrapText="1"/>
    </xf>
    <xf numFmtId="0" fontId="76" fillId="0" borderId="17" xfId="15" applyFont="1" applyBorder="1" applyAlignment="1">
      <alignment horizontal="center" vertical="center" wrapText="1"/>
    </xf>
    <xf numFmtId="0" fontId="8" fillId="8" borderId="55" xfId="15" applyFont="1" applyFill="1" applyBorder="1" applyAlignment="1">
      <alignment horizontal="left" vertical="center" wrapText="1"/>
    </xf>
    <xf numFmtId="0" fontId="8" fillId="8" borderId="143" xfId="15" applyFont="1" applyFill="1" applyBorder="1" applyAlignment="1">
      <alignment horizontal="left" vertical="center" wrapText="1"/>
    </xf>
    <xf numFmtId="0" fontId="80" fillId="0" borderId="17" xfId="15" applyFont="1" applyFill="1" applyBorder="1" applyAlignment="1">
      <alignment horizontal="center" vertical="center" wrapText="1"/>
    </xf>
    <xf numFmtId="0" fontId="50" fillId="0" borderId="147" xfId="15" applyFont="1" applyBorder="1" applyAlignment="1">
      <alignment horizontal="center" vertical="center" wrapText="1"/>
    </xf>
    <xf numFmtId="0" fontId="50" fillId="0" borderId="35" xfId="15" applyFont="1" applyBorder="1" applyAlignment="1">
      <alignment horizontal="center" vertical="center" wrapText="1"/>
    </xf>
    <xf numFmtId="0" fontId="51" fillId="0" borderId="17" xfId="15" applyFont="1" applyFill="1" applyBorder="1" applyAlignment="1">
      <alignment horizontal="left" vertical="center" wrapText="1"/>
    </xf>
    <xf numFmtId="0" fontId="51" fillId="0" borderId="18" xfId="15" applyFont="1" applyFill="1" applyBorder="1" applyAlignment="1">
      <alignment horizontal="left" vertical="center" wrapText="1"/>
    </xf>
    <xf numFmtId="0" fontId="69" fillId="6" borderId="6" xfId="15" applyFont="1" applyFill="1" applyBorder="1" applyAlignment="1">
      <alignment horizontal="center" vertical="center" wrapText="1"/>
    </xf>
    <xf numFmtId="0" fontId="69" fillId="6" borderId="144" xfId="15" applyFont="1" applyFill="1" applyBorder="1" applyAlignment="1">
      <alignment horizontal="center" vertical="center" wrapText="1"/>
    </xf>
    <xf numFmtId="0" fontId="50" fillId="0" borderId="143" xfId="15" applyFont="1" applyBorder="1" applyAlignment="1">
      <alignment horizontal="center" vertical="center" wrapText="1"/>
    </xf>
    <xf numFmtId="0" fontId="50" fillId="0" borderId="5" xfId="15" applyFont="1" applyBorder="1" applyAlignment="1">
      <alignment horizontal="center" vertical="center" wrapText="1"/>
    </xf>
    <xf numFmtId="0" fontId="56" fillId="8" borderId="142" xfId="15" quotePrefix="1" applyFont="1" applyFill="1" applyBorder="1" applyAlignment="1">
      <alignment horizontal="left" vertical="center" wrapText="1"/>
    </xf>
    <xf numFmtId="49" fontId="31" fillId="6" borderId="150" xfId="15" quotePrefix="1" applyNumberFormat="1" applyFont="1" applyFill="1" applyBorder="1" applyAlignment="1">
      <alignment horizontal="center" vertical="center" wrapText="1"/>
    </xf>
    <xf numFmtId="49" fontId="31" fillId="6" borderId="17" xfId="15" quotePrefix="1" applyNumberFormat="1" applyFont="1" applyFill="1" applyBorder="1" applyAlignment="1">
      <alignment horizontal="center" vertical="center" wrapText="1"/>
    </xf>
    <xf numFmtId="49" fontId="31" fillId="6" borderId="18" xfId="15" quotePrefix="1" applyNumberFormat="1" applyFont="1" applyFill="1" applyBorder="1" applyAlignment="1">
      <alignment horizontal="center" vertical="center" wrapText="1"/>
    </xf>
    <xf numFmtId="49" fontId="66" fillId="6" borderId="150" xfId="15" quotePrefix="1" applyNumberFormat="1" applyFont="1" applyFill="1" applyBorder="1" applyAlignment="1">
      <alignment horizontal="center" vertical="center" wrapText="1"/>
    </xf>
    <xf numFmtId="49" fontId="66" fillId="6" borderId="18" xfId="15" quotePrefix="1" applyNumberFormat="1" applyFont="1" applyFill="1" applyBorder="1" applyAlignment="1">
      <alignment horizontal="center" vertical="center" wrapText="1"/>
    </xf>
    <xf numFmtId="49" fontId="7" fillId="6" borderId="17" xfId="15" quotePrefix="1" applyNumberFormat="1" applyFont="1" applyFill="1" applyBorder="1" applyAlignment="1">
      <alignment horizontal="center" vertical="center" wrapText="1"/>
    </xf>
    <xf numFmtId="0" fontId="7" fillId="6" borderId="150" xfId="15" quotePrefix="1" applyFont="1" applyFill="1" applyBorder="1" applyAlignment="1">
      <alignment horizontal="center" vertical="center" wrapText="1"/>
    </xf>
    <xf numFmtId="0" fontId="7" fillId="6" borderId="17" xfId="15" quotePrefix="1" applyFont="1" applyFill="1" applyBorder="1" applyAlignment="1">
      <alignment horizontal="center" vertical="center" wrapText="1"/>
    </xf>
    <xf numFmtId="0" fontId="7" fillId="6" borderId="18" xfId="15" quotePrefix="1" applyFont="1" applyFill="1" applyBorder="1" applyAlignment="1">
      <alignment horizontal="center" vertical="center" wrapText="1"/>
    </xf>
    <xf numFmtId="0" fontId="7" fillId="6" borderId="55" xfId="15" quotePrefix="1" applyFont="1" applyFill="1" applyBorder="1" applyAlignment="1">
      <alignment horizontal="center" vertical="center" wrapText="1"/>
    </xf>
    <xf numFmtId="0" fontId="7" fillId="6" borderId="181" xfId="15" quotePrefix="1" applyFont="1" applyFill="1" applyBorder="1" applyAlignment="1">
      <alignment horizontal="center" vertical="center" wrapText="1"/>
    </xf>
    <xf numFmtId="0" fontId="56" fillId="8" borderId="158" xfId="15" applyFont="1" applyFill="1" applyBorder="1" applyAlignment="1">
      <alignment horizontal="left" vertical="center"/>
    </xf>
    <xf numFmtId="0" fontId="56" fillId="8" borderId="143" xfId="15" applyFont="1" applyFill="1" applyBorder="1" applyAlignment="1">
      <alignment horizontal="left" vertical="center"/>
    </xf>
    <xf numFmtId="0" fontId="8" fillId="8" borderId="6" xfId="15" applyFont="1" applyFill="1" applyBorder="1" applyAlignment="1">
      <alignment horizontal="left" vertical="center"/>
    </xf>
    <xf numFmtId="0" fontId="8" fillId="8" borderId="5" xfId="15" applyFont="1" applyFill="1" applyBorder="1" applyAlignment="1">
      <alignment horizontal="left" vertical="center"/>
    </xf>
    <xf numFmtId="0" fontId="56" fillId="8" borderId="175" xfId="15" applyFont="1" applyFill="1" applyBorder="1" applyAlignment="1">
      <alignment horizontal="left" vertical="center"/>
    </xf>
    <xf numFmtId="0" fontId="56" fillId="8" borderId="184" xfId="15" applyFont="1" applyFill="1" applyBorder="1" applyAlignment="1">
      <alignment horizontal="left" vertical="center"/>
    </xf>
    <xf numFmtId="0" fontId="8" fillId="0" borderId="150" xfId="15" applyFont="1" applyBorder="1" applyAlignment="1">
      <alignment horizontal="center" vertical="center" wrapText="1"/>
    </xf>
    <xf numFmtId="0" fontId="8" fillId="0" borderId="17" xfId="15" applyFont="1" applyBorder="1" applyAlignment="1">
      <alignment horizontal="center" vertical="center" wrapText="1"/>
    </xf>
    <xf numFmtId="0" fontId="8" fillId="0" borderId="14" xfId="15" applyFont="1" applyBorder="1" applyAlignment="1">
      <alignment horizontal="center" vertical="center" wrapText="1"/>
    </xf>
    <xf numFmtId="0" fontId="50" fillId="0" borderId="150" xfId="15" applyFont="1" applyBorder="1" applyAlignment="1">
      <alignment horizontal="center" vertical="center" wrapText="1"/>
    </xf>
    <xf numFmtId="0" fontId="50" fillId="0" borderId="18" xfId="15" applyFont="1" applyBorder="1" applyAlignment="1">
      <alignment horizontal="center" vertical="center" wrapText="1"/>
    </xf>
    <xf numFmtId="0" fontId="56" fillId="8" borderId="173" xfId="15" applyFont="1" applyFill="1" applyBorder="1" applyAlignment="1">
      <alignment horizontal="left" vertical="center" wrapText="1"/>
    </xf>
    <xf numFmtId="0" fontId="56" fillId="8" borderId="163" xfId="15" quotePrefix="1" applyFont="1" applyFill="1" applyBorder="1" applyAlignment="1">
      <alignment horizontal="left" vertical="center" wrapText="1"/>
    </xf>
    <xf numFmtId="0" fontId="56" fillId="8" borderId="146" xfId="1" applyFont="1" applyFill="1" applyBorder="1" applyAlignment="1">
      <alignment horizontal="left" vertical="center" wrapText="1"/>
    </xf>
    <xf numFmtId="0" fontId="56" fillId="8" borderId="156" xfId="1" applyFont="1" applyFill="1" applyBorder="1" applyAlignment="1">
      <alignment horizontal="left" vertical="center" wrapText="1"/>
    </xf>
    <xf numFmtId="0" fontId="56" fillId="8" borderId="0" xfId="1" applyFont="1" applyFill="1" applyBorder="1" applyAlignment="1">
      <alignment horizontal="left" vertical="center" wrapText="1"/>
    </xf>
    <xf numFmtId="0" fontId="69" fillId="6" borderId="150" xfId="1" applyFont="1" applyFill="1" applyBorder="1" applyAlignment="1">
      <alignment horizontal="center" vertical="center" wrapText="1"/>
    </xf>
    <xf numFmtId="0" fontId="69" fillId="6" borderId="17" xfId="1" applyFont="1" applyFill="1" applyBorder="1" applyAlignment="1">
      <alignment horizontal="center" vertical="center" wrapText="1"/>
    </xf>
    <xf numFmtId="0" fontId="31" fillId="6" borderId="150" xfId="1" applyFont="1" applyFill="1" applyBorder="1" applyAlignment="1">
      <alignment horizontal="center" vertical="center" wrapText="1"/>
    </xf>
    <xf numFmtId="0" fontId="31" fillId="6" borderId="18" xfId="1" applyFont="1" applyFill="1" applyBorder="1" applyAlignment="1">
      <alignment horizontal="center" vertical="center" wrapText="1"/>
    </xf>
    <xf numFmtId="0" fontId="69" fillId="6" borderId="14" xfId="1" applyFont="1" applyFill="1" applyBorder="1" applyAlignment="1">
      <alignment horizontal="center" vertical="center" wrapText="1"/>
    </xf>
    <xf numFmtId="0" fontId="31" fillId="6" borderId="14" xfId="1" applyFont="1" applyFill="1" applyBorder="1" applyAlignment="1">
      <alignment horizontal="center" vertical="center" wrapText="1"/>
    </xf>
    <xf numFmtId="0" fontId="78" fillId="6" borderId="19" xfId="1" applyFont="1" applyFill="1" applyBorder="1" applyAlignment="1">
      <alignment horizontal="center" vertical="center" wrapText="1"/>
    </xf>
    <xf numFmtId="0" fontId="78" fillId="6" borderId="17" xfId="1" applyFont="1" applyFill="1" applyBorder="1" applyAlignment="1">
      <alignment horizontal="center" vertical="center" wrapText="1"/>
    </xf>
    <xf numFmtId="0" fontId="78" fillId="6" borderId="6" xfId="1" applyFont="1" applyFill="1" applyBorder="1" applyAlignment="1">
      <alignment horizontal="center" vertical="center" wrapText="1"/>
    </xf>
    <xf numFmtId="0" fontId="56" fillId="8" borderId="181" xfId="1" applyFont="1" applyFill="1" applyBorder="1" applyAlignment="1">
      <alignment horizontal="left" vertical="center" wrapText="1"/>
    </xf>
    <xf numFmtId="0" fontId="56" fillId="8" borderId="55" xfId="1" applyFont="1" applyFill="1" applyBorder="1" applyAlignment="1">
      <alignment horizontal="left" vertical="center" wrapText="1"/>
    </xf>
    <xf numFmtId="0" fontId="56" fillId="8" borderId="148" xfId="1" applyFont="1" applyFill="1" applyBorder="1" applyAlignment="1">
      <alignment horizontal="left" vertical="center" wrapText="1"/>
    </xf>
    <xf numFmtId="49" fontId="31" fillId="6" borderId="150" xfId="1" applyNumberFormat="1" applyFont="1" applyFill="1" applyBorder="1" applyAlignment="1">
      <alignment horizontal="center" vertical="center" wrapText="1"/>
    </xf>
    <xf numFmtId="49" fontId="31" fillId="6" borderId="17" xfId="1" applyNumberFormat="1" applyFont="1" applyFill="1" applyBorder="1" applyAlignment="1">
      <alignment horizontal="center" vertical="center" wrapText="1"/>
    </xf>
    <xf numFmtId="49" fontId="31" fillId="6" borderId="18" xfId="1" applyNumberFormat="1" applyFont="1" applyFill="1" applyBorder="1" applyAlignment="1">
      <alignment horizontal="center" vertical="center" wrapText="1"/>
    </xf>
    <xf numFmtId="0" fontId="80" fillId="0" borderId="19" xfId="1" applyFont="1" applyFill="1" applyBorder="1" applyAlignment="1">
      <alignment horizontal="center" vertical="center" wrapText="1"/>
    </xf>
    <xf numFmtId="0" fontId="80" fillId="0" borderId="17" xfId="1" applyFont="1" applyFill="1" applyBorder="1" applyAlignment="1">
      <alignment horizontal="center" vertical="center" wrapText="1"/>
    </xf>
    <xf numFmtId="0" fontId="56" fillId="8" borderId="175" xfId="1" applyFont="1" applyFill="1" applyBorder="1" applyAlignment="1">
      <alignment horizontal="left" vertical="center" wrapText="1"/>
    </xf>
    <xf numFmtId="0" fontId="56" fillId="8" borderId="180" xfId="1" applyFont="1" applyFill="1" applyBorder="1" applyAlignment="1">
      <alignment horizontal="left" vertical="center" wrapText="1"/>
    </xf>
    <xf numFmtId="0" fontId="69" fillId="8" borderId="181" xfId="1" applyFont="1" applyFill="1" applyBorder="1" applyAlignment="1">
      <alignment horizontal="left" vertical="center" wrapText="1"/>
    </xf>
    <xf numFmtId="0" fontId="69" fillId="8" borderId="146" xfId="1" applyFont="1" applyFill="1" applyBorder="1" applyAlignment="1">
      <alignment horizontal="left" vertical="center" wrapText="1"/>
    </xf>
    <xf numFmtId="0" fontId="69" fillId="8" borderId="156" xfId="1" applyFont="1" applyFill="1" applyBorder="1" applyAlignment="1">
      <alignment horizontal="left" vertical="center" wrapText="1"/>
    </xf>
    <xf numFmtId="0" fontId="56" fillId="6" borderId="17" xfId="1" applyFont="1" applyFill="1" applyBorder="1" applyAlignment="1">
      <alignment horizontal="center" vertical="center" wrapText="1"/>
    </xf>
    <xf numFmtId="0" fontId="56" fillId="8" borderId="184" xfId="1" applyFont="1" applyFill="1" applyBorder="1" applyAlignment="1">
      <alignment horizontal="left" vertical="center" wrapText="1"/>
    </xf>
    <xf numFmtId="0" fontId="56" fillId="6" borderId="150" xfId="1" applyFont="1" applyFill="1" applyBorder="1" applyAlignment="1">
      <alignment horizontal="center" vertical="center" wrapText="1"/>
    </xf>
    <xf numFmtId="0" fontId="51" fillId="0" borderId="150" xfId="15" applyFont="1" applyFill="1" applyBorder="1" applyAlignment="1">
      <alignment horizontal="left" vertical="center" wrapText="1"/>
    </xf>
    <xf numFmtId="0" fontId="31" fillId="0" borderId="150" xfId="1" applyFont="1" applyFill="1" applyBorder="1" applyAlignment="1">
      <alignment horizontal="left" vertical="center" wrapText="1"/>
    </xf>
    <xf numFmtId="0" fontId="31" fillId="0" borderId="18" xfId="1" applyFont="1" applyFill="1" applyBorder="1" applyAlignment="1">
      <alignment horizontal="left" vertical="center" wrapText="1"/>
    </xf>
    <xf numFmtId="0" fontId="56" fillId="8" borderId="141" xfId="1" applyFont="1" applyFill="1" applyBorder="1" applyAlignment="1">
      <alignment horizontal="left" vertical="center" wrapText="1"/>
    </xf>
    <xf numFmtId="0" fontId="56" fillId="8" borderId="142" xfId="1" applyFont="1" applyFill="1" applyBorder="1" applyAlignment="1">
      <alignment horizontal="left" vertical="center" wrapText="1"/>
    </xf>
    <xf numFmtId="0" fontId="56" fillId="6" borderId="18" xfId="1" applyFont="1" applyFill="1" applyBorder="1" applyAlignment="1">
      <alignment horizontal="center" vertical="center" wrapText="1"/>
    </xf>
    <xf numFmtId="0" fontId="80" fillId="6" borderId="17" xfId="1" applyFont="1" applyFill="1" applyBorder="1" applyAlignment="1">
      <alignment horizontal="center" vertical="center" wrapText="1"/>
    </xf>
    <xf numFmtId="0" fontId="56" fillId="8" borderId="126" xfId="1" applyFont="1" applyFill="1" applyBorder="1" applyAlignment="1">
      <alignment horizontal="left" vertical="center" wrapText="1"/>
    </xf>
    <xf numFmtId="0" fontId="56" fillId="8" borderId="5" xfId="1" applyFont="1" applyFill="1" applyBorder="1" applyAlignment="1">
      <alignment horizontal="left" vertical="center" wrapText="1"/>
    </xf>
    <xf numFmtId="0" fontId="56" fillId="8" borderId="158" xfId="1" applyFont="1" applyFill="1" applyBorder="1" applyAlignment="1">
      <alignment horizontal="left" vertical="center" wrapText="1"/>
    </xf>
    <xf numFmtId="0" fontId="69" fillId="8" borderId="55" xfId="1" applyFont="1" applyFill="1" applyBorder="1" applyAlignment="1">
      <alignment horizontal="left" vertical="center" wrapText="1"/>
    </xf>
    <xf numFmtId="0" fontId="56" fillId="8" borderId="143" xfId="1" applyFont="1" applyFill="1" applyBorder="1" applyAlignment="1">
      <alignment horizontal="left" vertical="center" wrapText="1"/>
    </xf>
    <xf numFmtId="0" fontId="56" fillId="8" borderId="182" xfId="1" applyFont="1" applyFill="1" applyBorder="1" applyAlignment="1">
      <alignment horizontal="left" vertical="center" wrapText="1"/>
    </xf>
    <xf numFmtId="0" fontId="56" fillId="8" borderId="183" xfId="1" applyFont="1" applyFill="1" applyBorder="1" applyAlignment="1">
      <alignment horizontal="left" vertical="center" wrapText="1"/>
    </xf>
    <xf numFmtId="0" fontId="69" fillId="6" borderId="18" xfId="1" applyFont="1" applyFill="1" applyBorder="1" applyAlignment="1">
      <alignment horizontal="center" vertical="center" wrapText="1"/>
    </xf>
    <xf numFmtId="0" fontId="56" fillId="8" borderId="6" xfId="1" applyFont="1" applyFill="1" applyBorder="1" applyAlignment="1">
      <alignment horizontal="left" vertical="center" wrapText="1"/>
    </xf>
    <xf numFmtId="0" fontId="31" fillId="0" borderId="17" xfId="1" applyFont="1" applyFill="1" applyBorder="1" applyAlignment="1">
      <alignment horizontal="left" vertical="center" wrapText="1"/>
    </xf>
    <xf numFmtId="0" fontId="54" fillId="8" borderId="144" xfId="1" applyFont="1" applyFill="1" applyBorder="1" applyAlignment="1">
      <alignment horizontal="left" vertical="center" wrapText="1"/>
    </xf>
    <xf numFmtId="0" fontId="54" fillId="8" borderId="0" xfId="1" applyFont="1" applyFill="1" applyBorder="1" applyAlignment="1">
      <alignment horizontal="left" vertical="center" wrapText="1"/>
    </xf>
    <xf numFmtId="0" fontId="7" fillId="6" borderId="150" xfId="1" applyFont="1" applyFill="1" applyBorder="1" applyAlignment="1">
      <alignment horizontal="center" vertical="center" wrapText="1"/>
    </xf>
    <xf numFmtId="0" fontId="7" fillId="6" borderId="18" xfId="1" applyFont="1" applyFill="1" applyBorder="1" applyAlignment="1">
      <alignment horizontal="center" vertical="center" wrapText="1"/>
    </xf>
    <xf numFmtId="0" fontId="31" fillId="0" borderId="143" xfId="1" applyFont="1" applyFill="1" applyBorder="1" applyAlignment="1">
      <alignment horizontal="left" vertical="center" wrapText="1"/>
    </xf>
    <xf numFmtId="0" fontId="31" fillId="0" borderId="126" xfId="1" applyFont="1" applyFill="1" applyBorder="1" applyAlignment="1">
      <alignment horizontal="left" vertical="center" wrapText="1"/>
    </xf>
    <xf numFmtId="0" fontId="8" fillId="8" borderId="141" xfId="1" applyFont="1" applyFill="1" applyBorder="1" applyAlignment="1">
      <alignment horizontal="left" vertical="center" wrapText="1"/>
    </xf>
    <xf numFmtId="0" fontId="8" fillId="8" borderId="142" xfId="1" applyFont="1" applyFill="1" applyBorder="1" applyAlignment="1">
      <alignment horizontal="left" vertical="center" wrapText="1"/>
    </xf>
    <xf numFmtId="0" fontId="8" fillId="6" borderId="17" xfId="1" applyFont="1" applyFill="1" applyBorder="1" applyAlignment="1">
      <alignment horizontal="center" vertical="center" wrapText="1"/>
    </xf>
    <xf numFmtId="0" fontId="8" fillId="6" borderId="18" xfId="1" applyFont="1" applyFill="1" applyBorder="1" applyAlignment="1">
      <alignment horizontal="center" vertical="center" wrapText="1"/>
    </xf>
    <xf numFmtId="0" fontId="8" fillId="8" borderId="158" xfId="1" applyFont="1" applyFill="1" applyBorder="1" applyAlignment="1">
      <alignment horizontal="left" vertical="center" wrapText="1"/>
    </xf>
    <xf numFmtId="0" fontId="8" fillId="8" borderId="55" xfId="1" applyFont="1" applyFill="1" applyBorder="1" applyAlignment="1">
      <alignment horizontal="left" vertical="center" wrapText="1"/>
    </xf>
    <xf numFmtId="0" fontId="56" fillId="8" borderId="11" xfId="1" applyFont="1" applyFill="1" applyBorder="1" applyAlignment="1">
      <alignment horizontal="left" vertical="center" wrapText="1"/>
    </xf>
    <xf numFmtId="0" fontId="56" fillId="8" borderId="136" xfId="1" applyFont="1" applyFill="1" applyBorder="1" applyAlignment="1">
      <alignment horizontal="left" vertical="center" wrapText="1"/>
    </xf>
    <xf numFmtId="0" fontId="8" fillId="8" borderId="181" xfId="1" applyFont="1" applyFill="1" applyBorder="1" applyAlignment="1">
      <alignment horizontal="left" vertical="center" wrapText="1"/>
    </xf>
    <xf numFmtId="0" fontId="56" fillId="8" borderId="144" xfId="1" applyFont="1" applyFill="1" applyBorder="1" applyAlignment="1">
      <alignment horizontal="left" vertical="center" wrapText="1"/>
    </xf>
    <xf numFmtId="0" fontId="50" fillId="6" borderId="150" xfId="1" applyFont="1" applyFill="1" applyBorder="1" applyAlignment="1">
      <alignment horizontal="center" vertical="center" wrapText="1"/>
    </xf>
    <xf numFmtId="0" fontId="50" fillId="6" borderId="17" xfId="1" applyFont="1" applyFill="1" applyBorder="1" applyAlignment="1">
      <alignment horizontal="center" vertical="center" wrapText="1"/>
    </xf>
    <xf numFmtId="0" fontId="50" fillId="6" borderId="18" xfId="1" applyFont="1" applyFill="1" applyBorder="1" applyAlignment="1">
      <alignment horizontal="center" vertical="center" wrapText="1"/>
    </xf>
    <xf numFmtId="0" fontId="8" fillId="8" borderId="19" xfId="1" applyFont="1" applyFill="1" applyBorder="1" applyAlignment="1">
      <alignment horizontal="left" vertical="center" wrapText="1"/>
    </xf>
    <xf numFmtId="0" fontId="8" fillId="8" borderId="7" xfId="1" applyFont="1" applyFill="1" applyBorder="1" applyAlignment="1">
      <alignment horizontal="left" vertical="center" wrapText="1"/>
    </xf>
    <xf numFmtId="0" fontId="8" fillId="8" borderId="150" xfId="1" applyFont="1" applyFill="1" applyBorder="1" applyAlignment="1">
      <alignment horizontal="left" vertical="center" wrapText="1"/>
    </xf>
    <xf numFmtId="0" fontId="68" fillId="0" borderId="17" xfId="1" applyFont="1" applyFill="1" applyBorder="1" applyAlignment="1">
      <alignment horizontal="center" vertical="center" wrapText="1"/>
    </xf>
    <xf numFmtId="0" fontId="68" fillId="0" borderId="6" xfId="1" applyFont="1" applyFill="1" applyBorder="1" applyAlignment="1">
      <alignment horizontal="center" vertical="center" wrapText="1"/>
    </xf>
    <xf numFmtId="0" fontId="8" fillId="8" borderId="11" xfId="1" applyFont="1" applyFill="1" applyBorder="1" applyAlignment="1">
      <alignment horizontal="left" vertical="center" wrapText="1"/>
    </xf>
    <xf numFmtId="0" fontId="8" fillId="8" borderId="182" xfId="1" applyFont="1" applyFill="1" applyBorder="1" applyAlignment="1">
      <alignment horizontal="left" vertical="center" wrapText="1"/>
    </xf>
    <xf numFmtId="0" fontId="8" fillId="6" borderId="7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" vertical="center" wrapText="1"/>
    </xf>
    <xf numFmtId="0" fontId="56" fillId="8" borderId="17" xfId="1" applyFont="1" applyFill="1" applyBorder="1" applyAlignment="1">
      <alignment horizontal="left" vertical="center" wrapText="1"/>
    </xf>
    <xf numFmtId="0" fontId="8" fillId="8" borderId="0" xfId="1" applyFont="1" applyFill="1" applyBorder="1" applyAlignment="1">
      <alignment horizontal="left" vertical="center" wrapText="1"/>
    </xf>
    <xf numFmtId="0" fontId="8" fillId="8" borderId="136" xfId="1" applyFont="1" applyFill="1" applyBorder="1" applyAlignment="1">
      <alignment horizontal="left" vertical="center" wrapText="1"/>
    </xf>
    <xf numFmtId="0" fontId="8" fillId="8" borderId="175" xfId="1" applyFont="1" applyFill="1" applyBorder="1" applyAlignment="1">
      <alignment horizontal="left" vertical="center" wrapText="1"/>
    </xf>
    <xf numFmtId="0" fontId="8" fillId="8" borderId="180" xfId="1" applyFont="1" applyFill="1" applyBorder="1" applyAlignment="1">
      <alignment horizontal="left" vertical="center" wrapText="1"/>
    </xf>
    <xf numFmtId="0" fontId="80" fillId="0" borderId="14" xfId="1" applyFont="1" applyFill="1" applyBorder="1" applyAlignment="1">
      <alignment horizontal="center" vertical="center" wrapText="1"/>
    </xf>
    <xf numFmtId="0" fontId="49" fillId="6" borderId="150" xfId="1" applyFont="1" applyFill="1" applyBorder="1" applyAlignment="1">
      <alignment horizontal="center" vertical="center" wrapText="1"/>
    </xf>
    <xf numFmtId="0" fontId="49" fillId="6" borderId="17" xfId="1" applyFont="1" applyFill="1" applyBorder="1" applyAlignment="1">
      <alignment horizontal="center" vertical="center" wrapText="1"/>
    </xf>
    <xf numFmtId="0" fontId="49" fillId="6" borderId="18" xfId="1" applyFont="1" applyFill="1" applyBorder="1" applyAlignment="1">
      <alignment horizontal="center" vertical="center" wrapText="1"/>
    </xf>
    <xf numFmtId="0" fontId="44" fillId="0" borderId="150" xfId="1" applyFont="1" applyFill="1" applyBorder="1" applyAlignment="1">
      <alignment horizontal="left" vertical="center" wrapText="1"/>
    </xf>
    <xf numFmtId="0" fontId="44" fillId="0" borderId="17" xfId="1" applyFont="1" applyFill="1" applyBorder="1" applyAlignment="1">
      <alignment horizontal="left" vertical="center" wrapText="1"/>
    </xf>
    <xf numFmtId="0" fontId="44" fillId="0" borderId="18" xfId="1" applyFont="1" applyFill="1" applyBorder="1" applyAlignment="1">
      <alignment horizontal="left" vertical="center" wrapText="1"/>
    </xf>
    <xf numFmtId="0" fontId="8" fillId="8" borderId="146" xfId="1" applyFont="1" applyFill="1" applyBorder="1" applyAlignment="1">
      <alignment horizontal="left" vertical="center" wrapText="1"/>
    </xf>
    <xf numFmtId="0" fontId="8" fillId="8" borderId="156" xfId="1" applyFont="1" applyFill="1" applyBorder="1" applyAlignment="1">
      <alignment horizontal="left" vertical="center" wrapText="1"/>
    </xf>
    <xf numFmtId="0" fontId="58" fillId="8" borderId="171" xfId="1" applyFont="1" applyFill="1" applyBorder="1" applyAlignment="1">
      <alignment horizontal="left" vertical="center"/>
    </xf>
    <xf numFmtId="0" fontId="58" fillId="8" borderId="169" xfId="1" applyFont="1" applyFill="1" applyBorder="1" applyAlignment="1">
      <alignment horizontal="left" vertical="center"/>
    </xf>
    <xf numFmtId="0" fontId="58" fillId="8" borderId="172" xfId="1" applyFont="1" applyFill="1" applyBorder="1" applyAlignment="1">
      <alignment horizontal="left" vertical="center"/>
    </xf>
    <xf numFmtId="0" fontId="80" fillId="6" borderId="19" xfId="1" applyFont="1" applyFill="1" applyBorder="1" applyAlignment="1">
      <alignment horizontal="center" vertical="center" wrapText="1"/>
    </xf>
    <xf numFmtId="0" fontId="69" fillId="6" borderId="143" xfId="1" applyFont="1" applyFill="1" applyBorder="1" applyAlignment="1">
      <alignment horizontal="center" vertical="center" wrapText="1"/>
    </xf>
    <xf numFmtId="0" fontId="69" fillId="6" borderId="5" xfId="1" applyFont="1" applyFill="1" applyBorder="1" applyAlignment="1">
      <alignment horizontal="center" vertical="center" wrapText="1"/>
    </xf>
    <xf numFmtId="0" fontId="69" fillId="6" borderId="126" xfId="1" applyFont="1" applyFill="1" applyBorder="1" applyAlignment="1">
      <alignment horizontal="center" vertical="center" wrapText="1"/>
    </xf>
    <xf numFmtId="0" fontId="8" fillId="8" borderId="27" xfId="1" applyFont="1" applyFill="1" applyBorder="1" applyAlignment="1">
      <alignment horizontal="left" vertical="center" wrapText="1"/>
    </xf>
    <xf numFmtId="0" fontId="33" fillId="2" borderId="9" xfId="1" applyFont="1" applyFill="1" applyBorder="1" applyAlignment="1">
      <alignment horizontal="center" vertical="center" wrapText="1"/>
    </xf>
    <xf numFmtId="0" fontId="33" fillId="2" borderId="13" xfId="1" applyFont="1" applyFill="1" applyBorder="1" applyAlignment="1">
      <alignment horizontal="center" vertical="center" wrapText="1"/>
    </xf>
    <xf numFmtId="0" fontId="58" fillId="8" borderId="144" xfId="1" applyFont="1" applyFill="1" applyBorder="1" applyAlignment="1">
      <alignment horizontal="left" vertical="center"/>
    </xf>
    <xf numFmtId="0" fontId="58" fillId="8" borderId="181" xfId="1" applyFont="1" applyFill="1" applyBorder="1" applyAlignment="1">
      <alignment horizontal="left" vertical="center"/>
    </xf>
    <xf numFmtId="0" fontId="8" fillId="8" borderId="6" xfId="1" applyFont="1" applyFill="1" applyBorder="1" applyAlignment="1">
      <alignment horizontal="left" vertical="center" wrapText="1"/>
    </xf>
    <xf numFmtId="0" fontId="54" fillId="8" borderId="141" xfId="1" applyFont="1" applyFill="1" applyBorder="1" applyAlignment="1">
      <alignment horizontal="left" vertical="center" wrapText="1"/>
    </xf>
    <xf numFmtId="0" fontId="54" fillId="8" borderId="136" xfId="1" applyFont="1" applyFill="1" applyBorder="1" applyAlignment="1">
      <alignment horizontal="left" vertical="center" wrapText="1"/>
    </xf>
    <xf numFmtId="49" fontId="59" fillId="10" borderId="15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5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9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52" xfId="10" applyNumberFormat="1" applyFont="1" applyFill="1" applyBorder="1" applyAlignment="1" applyProtection="1">
      <alignment horizontal="center" vertical="center" wrapText="1"/>
      <protection locked="0"/>
    </xf>
    <xf numFmtId="49" fontId="62" fillId="10" borderId="196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19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98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112" xfId="10" applyNumberFormat="1" applyFont="1" applyFill="1" applyBorder="1" applyAlignment="1" applyProtection="1">
      <alignment horizontal="left" vertical="center" wrapText="1"/>
      <protection locked="0"/>
    </xf>
    <xf numFmtId="0" fontId="87" fillId="0" borderId="0" xfId="10" applyNumberFormat="1" applyFont="1" applyFill="1" applyBorder="1" applyAlignment="1" applyProtection="1">
      <alignment horizontal="center" vertical="center" wrapText="1"/>
      <protection locked="0"/>
    </xf>
    <xf numFmtId="0" fontId="87" fillId="0" borderId="27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155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155" xfId="10" applyNumberFormat="1" applyFont="1" applyFill="1" applyBorder="1" applyAlignment="1" applyProtection="1">
      <alignment horizontal="left" vertical="center"/>
      <protection locked="0"/>
    </xf>
    <xf numFmtId="49" fontId="64" fillId="10" borderId="15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12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153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213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198" xfId="10" applyNumberFormat="1" applyFont="1" applyFill="1" applyBorder="1" applyAlignment="1" applyProtection="1">
      <alignment horizontal="left" vertical="center" wrapText="1"/>
      <protection locked="0"/>
    </xf>
    <xf numFmtId="0" fontId="65" fillId="0" borderId="198" xfId="0" applyFont="1" applyBorder="1" applyAlignment="1">
      <alignment horizontal="left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49" fontId="62" fillId="0" borderId="108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109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198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219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198" xfId="10" applyNumberFormat="1" applyFont="1" applyFill="1" applyBorder="1" applyAlignment="1" applyProtection="1">
      <alignment horizontal="left" vertical="center"/>
      <protection locked="0"/>
    </xf>
    <xf numFmtId="0" fontId="0" fillId="0" borderId="17" xfId="0" applyBorder="1" applyAlignment="1">
      <alignment horizontal="center" vertical="center" wrapText="1"/>
    </xf>
    <xf numFmtId="49" fontId="64" fillId="10" borderId="210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22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2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98" xfId="10" applyNumberFormat="1" applyFont="1" applyFill="1" applyBorder="1" applyAlignment="1" applyProtection="1">
      <alignment horizontal="center" vertical="center" wrapText="1"/>
      <protection locked="0"/>
    </xf>
    <xf numFmtId="49" fontId="62" fillId="10" borderId="198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224" xfId="10" applyNumberFormat="1" applyFont="1" applyFill="1" applyBorder="1" applyAlignment="1" applyProtection="1">
      <alignment horizontal="left" vertical="center" wrapText="1"/>
      <protection locked="0"/>
    </xf>
    <xf numFmtId="49" fontId="64" fillId="0" borderId="198" xfId="10" applyNumberFormat="1" applyFont="1" applyFill="1" applyBorder="1" applyAlignment="1" applyProtection="1">
      <alignment vertical="center" wrapText="1"/>
      <protection locked="0"/>
    </xf>
    <xf numFmtId="0" fontId="65" fillId="0" borderId="198" xfId="0" applyFont="1" applyBorder="1" applyAlignment="1">
      <alignment vertical="center" wrapText="1"/>
    </xf>
    <xf numFmtId="49" fontId="59" fillId="0" borderId="225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219" xfId="10" applyNumberFormat="1" applyFont="1" applyFill="1" applyBorder="1" applyAlignment="1" applyProtection="1">
      <alignment horizontal="center" vertical="center" wrapText="1"/>
      <protection locked="0"/>
    </xf>
    <xf numFmtId="49" fontId="64" fillId="10" borderId="240" xfId="10" applyNumberFormat="1" applyFont="1" applyFill="1" applyBorder="1" applyAlignment="1" applyProtection="1">
      <alignment horizontal="left" vertical="center" wrapText="1"/>
      <protection locked="0"/>
    </xf>
    <xf numFmtId="0" fontId="65" fillId="0" borderId="240" xfId="0" applyFont="1" applyBorder="1" applyAlignment="1">
      <alignment horizontal="left" vertical="center" wrapText="1"/>
    </xf>
    <xf numFmtId="49" fontId="59" fillId="0" borderId="240" xfId="10" applyNumberFormat="1" applyFont="1" applyFill="1" applyBorder="1" applyAlignment="1" applyProtection="1">
      <alignment vertical="center" wrapText="1"/>
      <protection locked="0"/>
    </xf>
    <xf numFmtId="0" fontId="0" fillId="0" borderId="240" xfId="0" applyFont="1" applyBorder="1" applyAlignment="1">
      <alignment vertical="center" wrapText="1"/>
    </xf>
    <xf numFmtId="49" fontId="64" fillId="0" borderId="240" xfId="10" applyNumberFormat="1" applyFont="1" applyFill="1" applyBorder="1" applyAlignment="1" applyProtection="1">
      <alignment vertical="center" wrapText="1"/>
      <protection locked="0"/>
    </xf>
    <xf numFmtId="0" fontId="65" fillId="0" borderId="240" xfId="0" applyFont="1" applyBorder="1" applyAlignment="1">
      <alignment vertical="center" wrapText="1"/>
    </xf>
    <xf numFmtId="49" fontId="59" fillId="10" borderId="224" xfId="10" applyNumberFormat="1" applyFont="1" applyFill="1" applyBorder="1" applyAlignment="1" applyProtection="1">
      <alignment horizontal="center" vertical="center" wrapText="1"/>
      <protection locked="0"/>
    </xf>
    <xf numFmtId="49" fontId="62" fillId="10" borderId="22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3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40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128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240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240" xfId="10" applyNumberFormat="1" applyFont="1" applyFill="1" applyBorder="1" applyAlignment="1" applyProtection="1">
      <alignment horizontal="left" vertical="center" wrapText="1"/>
      <protection locked="0"/>
    </xf>
    <xf numFmtId="0" fontId="0" fillId="6" borderId="17" xfId="0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49" fontId="62" fillId="10" borderId="240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0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240" xfId="10" applyNumberFormat="1" applyFont="1" applyFill="1" applyBorder="1" applyAlignment="1" applyProtection="1">
      <alignment horizontal="left" vertical="center"/>
      <protection locked="0"/>
    </xf>
    <xf numFmtId="49" fontId="64" fillId="10" borderId="22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5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50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253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253" xfId="10" applyNumberFormat="1" applyFont="1" applyFill="1" applyBorder="1" applyAlignment="1" applyProtection="1">
      <alignment horizontal="left" vertical="center"/>
      <protection locked="0"/>
    </xf>
    <xf numFmtId="49" fontId="64" fillId="10" borderId="253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146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24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24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262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25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6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6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6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64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26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53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257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119" xfId="10" applyNumberFormat="1" applyFont="1" applyFill="1" applyBorder="1" applyAlignment="1" applyProtection="1">
      <alignment horizontal="left" vertical="center" wrapText="1"/>
      <protection locked="0"/>
    </xf>
    <xf numFmtId="49" fontId="62" fillId="15" borderId="224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24" xfId="0" applyFont="1" applyBorder="1" applyAlignment="1">
      <alignment horizontal="left" vertical="center" wrapText="1"/>
    </xf>
    <xf numFmtId="49" fontId="59" fillId="15" borderId="267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67" xfId="0" applyFont="1" applyBorder="1" applyAlignment="1">
      <alignment horizontal="left" vertical="center" wrapText="1"/>
    </xf>
    <xf numFmtId="0" fontId="64" fillId="0" borderId="267" xfId="10" applyNumberFormat="1" applyFont="1" applyFill="1" applyBorder="1" applyAlignment="1" applyProtection="1">
      <alignment horizontal="left" vertical="center"/>
      <protection locked="0"/>
    </xf>
    <xf numFmtId="49" fontId="59" fillId="15" borderId="269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274" xfId="10" applyNumberFormat="1" applyFont="1" applyFill="1" applyBorder="1" applyAlignment="1" applyProtection="1">
      <alignment horizontal="center" vertical="center" wrapText="1"/>
      <protection locked="0"/>
    </xf>
    <xf numFmtId="49" fontId="64" fillId="10" borderId="0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26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6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6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70" xfId="10" applyNumberFormat="1" applyFont="1" applyFill="1" applyBorder="1" applyAlignment="1" applyProtection="1">
      <alignment horizontal="center" vertical="center" wrapText="1"/>
      <protection locked="0"/>
    </xf>
    <xf numFmtId="49" fontId="64" fillId="10" borderId="27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79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288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28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90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290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27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9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93" xfId="10" applyNumberFormat="1" applyFont="1" applyFill="1" applyBorder="1" applyAlignment="1" applyProtection="1">
      <alignment horizontal="center" vertical="center" wrapText="1"/>
      <protection locked="0"/>
    </xf>
    <xf numFmtId="49" fontId="62" fillId="10" borderId="295" xfId="10" applyNumberFormat="1" applyFont="1" applyFill="1" applyBorder="1" applyAlignment="1" applyProtection="1">
      <alignment horizontal="left" vertical="center" wrapText="1"/>
      <protection locked="0"/>
    </xf>
    <xf numFmtId="0" fontId="40" fillId="0" borderId="296" xfId="0" applyFont="1" applyBorder="1" applyAlignment="1">
      <alignment horizontal="left" vertical="center" wrapText="1"/>
    </xf>
    <xf numFmtId="49" fontId="59" fillId="10" borderId="298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279" xfId="10" applyNumberFormat="1" applyFont="1" applyFill="1" applyBorder="1" applyAlignment="1" applyProtection="1">
      <alignment horizontal="left" vertical="center"/>
      <protection locked="0"/>
    </xf>
    <xf numFmtId="49" fontId="59" fillId="10" borderId="276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19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1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1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1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8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8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07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279" xfId="10" applyNumberFormat="1" applyFont="1" applyFill="1" applyBorder="1" applyAlignment="1" applyProtection="1">
      <alignment horizontal="left" vertical="center" wrapText="1"/>
      <protection locked="0"/>
    </xf>
    <xf numFmtId="0" fontId="65" fillId="0" borderId="279" xfId="0" applyFont="1" applyBorder="1" applyAlignment="1">
      <alignment horizontal="left" vertical="center" wrapText="1"/>
    </xf>
    <xf numFmtId="49" fontId="59" fillId="10" borderId="28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81" xfId="10" applyNumberFormat="1" applyFont="1" applyFill="1" applyBorder="1" applyAlignment="1" applyProtection="1">
      <alignment horizontal="center" vertical="center" wrapText="1"/>
      <protection locked="0"/>
    </xf>
    <xf numFmtId="49" fontId="62" fillId="15" borderId="288" xfId="10" applyNumberFormat="1" applyFont="1" applyFill="1" applyBorder="1" applyAlignment="1" applyProtection="1">
      <alignment horizontal="left" vertical="center" wrapText="1"/>
      <protection locked="0"/>
    </xf>
    <xf numFmtId="49" fontId="62" fillId="15" borderId="287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314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315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290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318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318" xfId="10" applyNumberFormat="1" applyFont="1" applyFill="1" applyBorder="1" applyAlignment="1" applyProtection="1">
      <alignment horizontal="left" vertical="center"/>
      <protection locked="0"/>
    </xf>
    <xf numFmtId="49" fontId="59" fillId="10" borderId="332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32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18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328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329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31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7" xfId="10" applyNumberFormat="1" applyFont="1" applyFill="1" applyBorder="1" applyAlignment="1" applyProtection="1">
      <alignment horizontal="center" vertical="center" wrapText="1"/>
      <protection locked="0"/>
    </xf>
    <xf numFmtId="49" fontId="64" fillId="10" borderId="290" xfId="10" applyNumberFormat="1" applyFont="1" applyFill="1" applyBorder="1" applyAlignment="1" applyProtection="1">
      <alignment horizontal="left" vertical="center" wrapText="1"/>
      <protection locked="0"/>
    </xf>
    <xf numFmtId="0" fontId="65" fillId="0" borderId="290" xfId="0" applyFont="1" applyBorder="1" applyAlignment="1">
      <alignment horizontal="left" vertical="center" wrapText="1"/>
    </xf>
    <xf numFmtId="49" fontId="64" fillId="10" borderId="332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318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40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0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0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1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18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19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422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405" xfId="10" applyNumberFormat="1" applyFont="1" applyFill="1" applyBorder="1" applyAlignment="1" applyProtection="1">
      <alignment horizontal="left" vertical="center"/>
      <protection locked="0"/>
    </xf>
    <xf numFmtId="49" fontId="64" fillId="10" borderId="427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405" xfId="10" applyNumberFormat="1" applyFont="1" applyFill="1" applyBorder="1" applyAlignment="1" applyProtection="1">
      <alignment horizontal="left" vertical="center" wrapText="1"/>
      <protection locked="0"/>
    </xf>
    <xf numFmtId="0" fontId="65" fillId="0" borderId="405" xfId="0" applyFont="1" applyBorder="1" applyAlignment="1">
      <alignment horizontal="left" vertical="center" wrapText="1"/>
    </xf>
    <xf numFmtId="49" fontId="59" fillId="0" borderId="405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290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115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31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4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2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3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4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5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52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451" xfId="10" applyNumberFormat="1" applyFont="1" applyFill="1" applyBorder="1" applyAlignment="1" applyProtection="1">
      <alignment horizontal="left" vertical="center" wrapText="1"/>
      <protection locked="0"/>
    </xf>
    <xf numFmtId="0" fontId="65" fillId="0" borderId="449" xfId="0" applyFont="1" applyBorder="1" applyAlignment="1">
      <alignment horizontal="left" vertical="center" wrapText="1"/>
    </xf>
    <xf numFmtId="49" fontId="59" fillId="10" borderId="43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37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 vertical="center" wrapText="1"/>
    </xf>
    <xf numFmtId="49" fontId="59" fillId="0" borderId="438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438" xfId="10" applyNumberFormat="1" applyFont="1" applyFill="1" applyBorder="1" applyAlignment="1" applyProtection="1">
      <alignment horizontal="left" vertical="center"/>
      <protection locked="0"/>
    </xf>
    <xf numFmtId="49" fontId="64" fillId="10" borderId="43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3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4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42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 wrapText="1"/>
    </xf>
    <xf numFmtId="49" fontId="62" fillId="0" borderId="32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22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3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/>
    </xf>
    <xf numFmtId="49" fontId="62" fillId="10" borderId="422" xfId="10" applyNumberFormat="1" applyFont="1" applyFill="1" applyBorder="1" applyAlignment="1" applyProtection="1">
      <alignment horizontal="left" vertical="center" wrapText="1"/>
      <protection locked="0"/>
    </xf>
    <xf numFmtId="0" fontId="40" fillId="0" borderId="422" xfId="0" applyFont="1" applyBorder="1" applyAlignment="1">
      <alignment horizontal="left" vertical="center" wrapText="1"/>
    </xf>
    <xf numFmtId="0" fontId="0" fillId="0" borderId="422" xfId="0" applyFont="1" applyBorder="1" applyAlignment="1">
      <alignment horizontal="left" vertical="center" wrapText="1"/>
    </xf>
    <xf numFmtId="49" fontId="59" fillId="15" borderId="441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438" xfId="10" applyNumberFormat="1" applyFont="1" applyFill="1" applyBorder="1" applyAlignment="1" applyProtection="1">
      <alignment horizontal="left" vertical="center" wrapText="1"/>
      <protection locked="0"/>
    </xf>
    <xf numFmtId="0" fontId="40" fillId="0" borderId="290" xfId="0" applyFont="1" applyBorder="1" applyAlignment="1">
      <alignment horizontal="left" vertical="center" wrapText="1"/>
    </xf>
    <xf numFmtId="0" fontId="0" fillId="0" borderId="438" xfId="0" applyFont="1" applyBorder="1" applyAlignment="1">
      <alignment horizontal="left" vertical="center" wrapText="1"/>
    </xf>
    <xf numFmtId="49" fontId="59" fillId="0" borderId="43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7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75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640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449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90" xfId="0" applyFont="1" applyBorder="1" applyAlignment="1">
      <alignment horizontal="left" vertical="center" wrapText="1"/>
    </xf>
    <xf numFmtId="49" fontId="62" fillId="15" borderId="19" xfId="10" applyNumberFormat="1" applyFont="1" applyFill="1" applyBorder="1" applyAlignment="1" applyProtection="1">
      <alignment horizontal="center" vertical="center" wrapText="1"/>
      <protection locked="0"/>
    </xf>
    <xf numFmtId="49" fontId="62" fillId="15" borderId="17" xfId="10" applyNumberFormat="1" applyFont="1" applyFill="1" applyBorder="1" applyAlignment="1" applyProtection="1">
      <alignment horizontal="center" vertical="center" wrapText="1"/>
      <protection locked="0"/>
    </xf>
    <xf numFmtId="49" fontId="62" fillId="15" borderId="14" xfId="10" applyNumberFormat="1" applyFont="1" applyFill="1" applyBorder="1" applyAlignment="1" applyProtection="1">
      <alignment horizontal="center" vertical="center" wrapText="1"/>
      <protection locked="0"/>
    </xf>
    <xf numFmtId="49" fontId="62" fillId="10" borderId="326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430" xfId="0" applyFont="1" applyBorder="1" applyAlignment="1">
      <alignment horizontal="left" vertical="center" wrapText="1"/>
    </xf>
    <xf numFmtId="0" fontId="64" fillId="0" borderId="422" xfId="10" applyNumberFormat="1" applyFont="1" applyFill="1" applyBorder="1" applyAlignment="1" applyProtection="1">
      <alignment horizontal="left" vertical="center"/>
      <protection locked="0"/>
    </xf>
    <xf numFmtId="49" fontId="59" fillId="0" borderId="14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481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442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422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442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481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442" xfId="0" applyFont="1" applyBorder="1" applyAlignment="1">
      <alignment horizontal="left" vertical="center" wrapText="1"/>
    </xf>
    <xf numFmtId="49" fontId="62" fillId="10" borderId="466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44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22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90" xfId="0" applyBorder="1" applyAlignment="1">
      <alignment horizontal="left" vertical="center" wrapText="1"/>
    </xf>
    <xf numFmtId="49" fontId="59" fillId="0" borderId="326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32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02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05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51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45" xfId="10" applyNumberFormat="1" applyFont="1" applyFill="1" applyBorder="1" applyAlignment="1" applyProtection="1">
      <alignment horizontal="left" vertical="center" wrapText="1"/>
      <protection locked="0"/>
    </xf>
    <xf numFmtId="0" fontId="65" fillId="0" borderId="422" xfId="0" applyFont="1" applyBorder="1" applyAlignment="1">
      <alignment horizontal="left" vertical="center" wrapText="1"/>
    </xf>
    <xf numFmtId="49" fontId="59" fillId="0" borderId="516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516" xfId="10" applyNumberFormat="1" applyFont="1" applyFill="1" applyBorder="1" applyAlignment="1" applyProtection="1">
      <alignment horizontal="left" vertical="center"/>
      <protection locked="0"/>
    </xf>
    <xf numFmtId="49" fontId="64" fillId="10" borderId="51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05" xfId="10" applyNumberFormat="1" applyFont="1" applyFill="1" applyBorder="1" applyAlignment="1" applyProtection="1">
      <alignment horizontal="left" vertical="center" wrapText="1"/>
      <protection locked="0"/>
    </xf>
    <xf numFmtId="0" fontId="65" fillId="0" borderId="516" xfId="0" applyFont="1" applyBorder="1" applyAlignment="1">
      <alignment horizontal="left" vertical="center" wrapText="1"/>
    </xf>
    <xf numFmtId="49" fontId="59" fillId="0" borderId="533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53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3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3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3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2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16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530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52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4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47" xfId="10" applyNumberFormat="1" applyFont="1" applyFill="1" applyBorder="1" applyAlignment="1" applyProtection="1">
      <alignment horizontal="left" vertical="center" wrapText="1"/>
      <protection locked="0"/>
    </xf>
    <xf numFmtId="49" fontId="62" fillId="15" borderId="290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55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550" xfId="0" applyFont="1" applyBorder="1" applyAlignment="1">
      <alignment horizontal="left" vertical="center" wrapText="1"/>
    </xf>
    <xf numFmtId="49" fontId="62" fillId="10" borderId="55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52" xfId="10" applyNumberFormat="1" applyFont="1" applyFill="1" applyBorder="1" applyAlignment="1" applyProtection="1">
      <alignment horizontal="left" vertical="center" wrapText="1"/>
      <protection locked="0"/>
    </xf>
    <xf numFmtId="0" fontId="40" fillId="0" borderId="516" xfId="0" applyFont="1" applyBorder="1" applyAlignment="1">
      <alignment horizontal="left" vertical="center" wrapText="1"/>
    </xf>
    <xf numFmtId="0" fontId="0" fillId="0" borderId="516" xfId="0" applyBorder="1" applyAlignment="1">
      <alignment horizontal="left" vertical="center" wrapText="1"/>
    </xf>
    <xf numFmtId="49" fontId="63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141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136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43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28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527" xfId="10" applyNumberFormat="1" applyFont="1" applyFill="1" applyBorder="1" applyAlignment="1" applyProtection="1">
      <alignment horizontal="left" vertical="center" wrapText="1"/>
      <protection locked="0"/>
    </xf>
    <xf numFmtId="49" fontId="59" fillId="6" borderId="1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50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50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55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3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6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33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550" xfId="10" applyNumberFormat="1" applyFont="1" applyFill="1" applyBorder="1" applyAlignment="1" applyProtection="1">
      <alignment horizontal="left" vertical="center"/>
      <protection locked="0"/>
    </xf>
    <xf numFmtId="49" fontId="64" fillId="10" borderId="552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6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6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6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69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550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585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86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87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52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58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9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93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98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575" xfId="10" applyNumberFormat="1" applyFont="1" applyFill="1" applyBorder="1" applyAlignment="1" applyProtection="1">
      <alignment horizontal="left" vertical="center"/>
      <protection locked="0"/>
    </xf>
    <xf numFmtId="49" fontId="64" fillId="10" borderId="599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59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0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08" xfId="10" applyNumberFormat="1" applyFont="1" applyFill="1" applyBorder="1" applyAlignment="1" applyProtection="1">
      <alignment horizontal="center" vertical="center" wrapText="1"/>
      <protection locked="0"/>
    </xf>
    <xf numFmtId="49" fontId="62" fillId="0" borderId="13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99" xfId="10" applyNumberFormat="1" applyFont="1" applyFill="1" applyBorder="1" applyAlignment="1" applyProtection="1">
      <alignment horizontal="left" vertical="center" wrapText="1"/>
      <protection locked="0"/>
    </xf>
    <xf numFmtId="0" fontId="65" fillId="0" borderId="550" xfId="0" applyFont="1" applyBorder="1" applyAlignment="1">
      <alignment horizontal="left" vertical="center" wrapText="1"/>
    </xf>
    <xf numFmtId="49" fontId="59" fillId="15" borderId="574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578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290" xfId="10" applyNumberFormat="1" applyFont="1" applyFill="1" applyBorder="1" applyAlignment="1" applyProtection="1">
      <alignment horizontal="left" vertical="center"/>
      <protection locked="0"/>
    </xf>
    <xf numFmtId="49" fontId="59" fillId="10" borderId="59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6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7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7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5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5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8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8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17" xfId="10" applyNumberFormat="1" applyFont="1" applyFill="1" applyBorder="1" applyAlignment="1" applyProtection="1">
      <alignment horizontal="center" vertical="center" wrapText="1"/>
      <protection locked="0"/>
    </xf>
    <xf numFmtId="0" fontId="64" fillId="0" borderId="607" xfId="10" applyNumberFormat="1" applyFont="1" applyFill="1" applyBorder="1" applyAlignment="1" applyProtection="1">
      <alignment horizontal="left" vertical="center"/>
      <protection locked="0"/>
    </xf>
    <xf numFmtId="0" fontId="64" fillId="0" borderId="599" xfId="10" applyNumberFormat="1" applyFont="1" applyFill="1" applyBorder="1" applyAlignment="1" applyProtection="1">
      <alignment horizontal="left" vertical="center"/>
      <protection locked="0"/>
    </xf>
    <xf numFmtId="49" fontId="59" fillId="0" borderId="622" xfId="10" applyNumberFormat="1" applyFont="1" applyFill="1" applyBorder="1" applyAlignment="1" applyProtection="1">
      <alignment horizontal="left" vertical="center" wrapText="1"/>
      <protection locked="0"/>
    </xf>
    <xf numFmtId="49" fontId="64" fillId="0" borderId="598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624" xfId="10" applyNumberFormat="1" applyFont="1" applyFill="1" applyBorder="1" applyAlignment="1" applyProtection="1">
      <alignment horizontal="left" vertical="center" wrapText="1"/>
      <protection locked="0"/>
    </xf>
    <xf numFmtId="0" fontId="40" fillId="0" borderId="550" xfId="0" applyFont="1" applyBorder="1" applyAlignment="1">
      <alignment horizontal="left" vertical="center" wrapText="1"/>
    </xf>
    <xf numFmtId="0" fontId="0" fillId="0" borderId="550" xfId="0" applyBorder="1" applyAlignment="1">
      <alignment horizontal="left" vertical="center" wrapText="1"/>
    </xf>
    <xf numFmtId="49" fontId="64" fillId="10" borderId="624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628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63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4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4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30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17" xfId="10" applyNumberFormat="1" applyFont="1" applyFill="1" applyBorder="1" applyAlignment="1" applyProtection="1">
      <alignment horizontal="center" vertical="center" wrapText="1"/>
      <protection locked="0"/>
    </xf>
    <xf numFmtId="49" fontId="64" fillId="10" borderId="630" xfId="10" applyNumberFormat="1" applyFont="1" applyFill="1" applyBorder="1" applyAlignment="1" applyProtection="1">
      <alignment horizontal="left" vertical="center" wrapText="1"/>
      <protection locked="0"/>
    </xf>
    <xf numFmtId="49" fontId="62" fillId="10" borderId="630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645" xfId="10" applyNumberFormat="1" applyFont="1" applyFill="1" applyBorder="1" applyAlignment="1" applyProtection="1">
      <alignment horizontal="left" vertical="center" wrapText="1"/>
      <protection locked="0"/>
    </xf>
    <xf numFmtId="49" fontId="64" fillId="0" borderId="64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4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8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81" xfId="10" applyNumberFormat="1" applyFont="1" applyFill="1" applyBorder="1" applyAlignment="1" applyProtection="1">
      <alignment horizontal="center" vertical="center" wrapText="1"/>
      <protection locked="0"/>
    </xf>
    <xf numFmtId="0" fontId="65" fillId="0" borderId="630" xfId="0" applyFont="1" applyBorder="1" applyAlignment="1">
      <alignment horizontal="left" vertical="center" wrapText="1"/>
    </xf>
    <xf numFmtId="49" fontId="59" fillId="10" borderId="63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47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48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7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78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664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665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6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669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670" xfId="10" applyNumberFormat="1" applyFont="1" applyFill="1" applyBorder="1" applyAlignment="1" applyProtection="1">
      <alignment horizontal="left" vertical="center" wrapText="1"/>
      <protection locked="0"/>
    </xf>
    <xf numFmtId="0" fontId="64" fillId="0" borderId="673" xfId="10" applyNumberFormat="1" applyFont="1" applyFill="1" applyBorder="1" applyAlignment="1" applyProtection="1">
      <alignment horizontal="left" vertical="center"/>
      <protection locked="0"/>
    </xf>
    <xf numFmtId="0" fontId="64" fillId="0" borderId="674" xfId="10" applyNumberFormat="1" applyFont="1" applyFill="1" applyBorder="1" applyAlignment="1" applyProtection="1">
      <alignment horizontal="left" vertical="center"/>
      <protection locked="0"/>
    </xf>
    <xf numFmtId="49" fontId="64" fillId="10" borderId="677" xfId="10" applyNumberFormat="1" applyFont="1" applyFill="1" applyBorder="1" applyAlignment="1" applyProtection="1">
      <alignment horizontal="left" vertical="center" wrapText="1"/>
      <protection locked="0"/>
    </xf>
    <xf numFmtId="49" fontId="64" fillId="10" borderId="67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9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92" xfId="10" applyNumberFormat="1" applyFont="1" applyFill="1" applyBorder="1" applyAlignment="1" applyProtection="1">
      <alignment horizontal="left" vertical="center" wrapText="1"/>
      <protection locked="0"/>
    </xf>
    <xf numFmtId="49" fontId="62" fillId="12" borderId="29" xfId="10" applyNumberFormat="1" applyFont="1" applyFill="1" applyBorder="1" applyAlignment="1" applyProtection="1">
      <alignment horizontal="center" vertical="center" wrapText="1"/>
      <protection locked="0"/>
    </xf>
    <xf numFmtId="49" fontId="62" fillId="12" borderId="133" xfId="10" applyNumberFormat="1" applyFont="1" applyFill="1" applyBorder="1" applyAlignment="1" applyProtection="1">
      <alignment horizontal="center" vertical="center" wrapText="1"/>
      <protection locked="0"/>
    </xf>
    <xf numFmtId="49" fontId="62" fillId="12" borderId="134" xfId="10" applyNumberFormat="1" applyFont="1" applyFill="1" applyBorder="1" applyAlignment="1" applyProtection="1">
      <alignment horizontal="center" vertical="center" wrapText="1"/>
      <protection locked="0"/>
    </xf>
    <xf numFmtId="49" fontId="62" fillId="10" borderId="6" xfId="10" applyNumberFormat="1" applyFont="1" applyFill="1" applyBorder="1" applyAlignment="1" applyProtection="1">
      <alignment horizontal="center" vertical="center" wrapText="1"/>
      <protection locked="0"/>
    </xf>
    <xf numFmtId="49" fontId="62" fillId="10" borderId="0" xfId="10" applyNumberFormat="1" applyFont="1" applyFill="1" applyBorder="1" applyAlignment="1" applyProtection="1">
      <alignment horizontal="center" vertical="center" wrapText="1"/>
      <protection locked="0"/>
    </xf>
    <xf numFmtId="49" fontId="62" fillId="11" borderId="29" xfId="10" applyNumberFormat="1" applyFont="1" applyFill="1" applyBorder="1" applyAlignment="1" applyProtection="1">
      <alignment horizontal="center" vertical="top" wrapText="1"/>
      <protection locked="0"/>
    </xf>
    <xf numFmtId="49" fontId="62" fillId="11" borderId="133" xfId="10" applyNumberFormat="1" applyFont="1" applyFill="1" applyBorder="1" applyAlignment="1" applyProtection="1">
      <alignment horizontal="center" vertical="top" wrapText="1"/>
      <protection locked="0"/>
    </xf>
    <xf numFmtId="49" fontId="9" fillId="14" borderId="29" xfId="1" applyNumberFormat="1" applyFont="1" applyFill="1" applyBorder="1" applyAlignment="1">
      <alignment horizontal="left" vertical="center"/>
    </xf>
    <xf numFmtId="49" fontId="9" fillId="14" borderId="133" xfId="1" applyNumberFormat="1" applyFont="1" applyFill="1" applyBorder="1" applyAlignment="1">
      <alignment horizontal="left" vertical="center"/>
    </xf>
    <xf numFmtId="0" fontId="7" fillId="0" borderId="115" xfId="1" applyFont="1" applyFill="1" applyBorder="1" applyAlignment="1">
      <alignment horizontal="left" vertical="center"/>
    </xf>
    <xf numFmtId="0" fontId="59" fillId="0" borderId="317" xfId="10" applyNumberFormat="1" applyFont="1" applyFill="1" applyBorder="1" applyAlignment="1" applyProtection="1">
      <alignment horizontal="left" vertical="center"/>
      <protection locked="0"/>
    </xf>
    <xf numFmtId="0" fontId="59" fillId="0" borderId="328" xfId="10" applyNumberFormat="1" applyFont="1" applyFill="1" applyBorder="1" applyAlignment="1" applyProtection="1">
      <alignment horizontal="left" vertical="center"/>
      <protection locked="0"/>
    </xf>
    <xf numFmtId="49" fontId="59" fillId="0" borderId="677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67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81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8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7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78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677" xfId="10" applyNumberFormat="1" applyFont="1" applyFill="1" applyBorder="1" applyAlignment="1" applyProtection="1">
      <alignment horizontal="left" vertical="center" wrapText="1"/>
      <protection locked="0"/>
    </xf>
    <xf numFmtId="49" fontId="62" fillId="0" borderId="68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8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689" xfId="10" applyNumberFormat="1" applyFont="1" applyFill="1" applyBorder="1" applyAlignment="1" applyProtection="1">
      <alignment horizontal="left" vertical="center" wrapText="1"/>
      <protection locked="0"/>
    </xf>
    <xf numFmtId="0" fontId="7" fillId="0" borderId="681" xfId="1" applyFont="1" applyFill="1" applyBorder="1" applyAlignment="1">
      <alignment horizontal="left" vertical="center"/>
    </xf>
    <xf numFmtId="0" fontId="59" fillId="0" borderId="449" xfId="10" applyNumberFormat="1" applyFont="1" applyFill="1" applyBorder="1" applyAlignment="1" applyProtection="1">
      <alignment horizontal="left" vertical="center"/>
      <protection locked="0"/>
    </xf>
    <xf numFmtId="0" fontId="59" fillId="0" borderId="695" xfId="10" applyNumberFormat="1" applyFont="1" applyFill="1" applyBorder="1" applyAlignment="1" applyProtection="1">
      <alignment horizontal="left" vertical="center"/>
      <protection locked="0"/>
    </xf>
    <xf numFmtId="0" fontId="9" fillId="14" borderId="56" xfId="1" applyFont="1" applyFill="1" applyBorder="1" applyAlignment="1">
      <alignment horizontal="left" vertical="center"/>
    </xf>
    <xf numFmtId="0" fontId="63" fillId="14" borderId="27" xfId="10" applyNumberFormat="1" applyFont="1" applyFill="1" applyBorder="1" applyAlignment="1" applyProtection="1">
      <alignment horizontal="left" vertical="center"/>
      <protection locked="0"/>
    </xf>
    <xf numFmtId="0" fontId="63" fillId="14" borderId="77" xfId="10" applyNumberFormat="1" applyFont="1" applyFill="1" applyBorder="1" applyAlignment="1" applyProtection="1">
      <alignment horizontal="left" vertical="center"/>
      <protection locked="0"/>
    </xf>
    <xf numFmtId="0" fontId="8" fillId="0" borderId="681" xfId="1" applyFont="1" applyFill="1" applyBorder="1" applyAlignment="1">
      <alignment horizontal="left" vertical="center" wrapText="1"/>
    </xf>
    <xf numFmtId="0" fontId="64" fillId="0" borderId="449" xfId="10" applyNumberFormat="1" applyFont="1" applyFill="1" applyBorder="1" applyAlignment="1" applyProtection="1">
      <alignment horizontal="left" vertical="center"/>
      <protection locked="0"/>
    </xf>
    <xf numFmtId="0" fontId="64" fillId="0" borderId="695" xfId="10" applyNumberFormat="1" applyFont="1" applyFill="1" applyBorder="1" applyAlignment="1" applyProtection="1">
      <alignment horizontal="left" vertical="center"/>
      <protection locked="0"/>
    </xf>
    <xf numFmtId="0" fontId="7" fillId="0" borderId="43" xfId="1" applyFont="1" applyFill="1" applyBorder="1" applyAlignment="1">
      <alignment horizontal="left" vertical="center"/>
    </xf>
    <xf numFmtId="0" fontId="59" fillId="0" borderId="699" xfId="10" applyNumberFormat="1" applyFont="1" applyFill="1" applyBorder="1" applyAlignment="1" applyProtection="1">
      <alignment horizontal="left" vertical="center"/>
      <protection locked="0"/>
    </xf>
    <xf numFmtId="0" fontId="59" fillId="0" borderId="700" xfId="10" applyNumberFormat="1" applyFont="1" applyFill="1" applyBorder="1" applyAlignment="1" applyProtection="1">
      <alignment horizontal="left" vertical="center"/>
      <protection locked="0"/>
    </xf>
    <xf numFmtId="0" fontId="8" fillId="0" borderId="681" xfId="1" applyFont="1" applyFill="1" applyBorder="1" applyAlignment="1">
      <alignment horizontal="left" vertical="center"/>
    </xf>
    <xf numFmtId="0" fontId="7" fillId="0" borderId="681" xfId="1" applyFont="1" applyFill="1" applyBorder="1" applyAlignment="1">
      <alignment horizontal="left" vertical="center" wrapText="1"/>
    </xf>
    <xf numFmtId="0" fontId="72" fillId="0" borderId="0" xfId="1" applyFont="1" applyAlignment="1">
      <alignment horizontal="left"/>
    </xf>
    <xf numFmtId="49" fontId="37" fillId="0" borderId="708" xfId="1" applyNumberFormat="1" applyFont="1" applyBorder="1" applyAlignment="1">
      <alignment horizontal="center" vertical="center"/>
    </xf>
    <xf numFmtId="0" fontId="13" fillId="0" borderId="709" xfId="1" applyFont="1" applyBorder="1" applyAlignment="1">
      <alignment horizontal="left" vertical="center" wrapText="1"/>
    </xf>
    <xf numFmtId="0" fontId="37" fillId="0" borderId="709" xfId="1" applyFont="1" applyBorder="1" applyAlignment="1">
      <alignment horizontal="center" vertical="center"/>
    </xf>
    <xf numFmtId="49" fontId="37" fillId="0" borderId="709" xfId="1" applyNumberFormat="1" applyFont="1" applyBorder="1" applyAlignment="1">
      <alignment horizontal="center" vertical="center"/>
    </xf>
    <xf numFmtId="49" fontId="12" fillId="19" borderId="29" xfId="1" applyNumberFormat="1" applyFont="1" applyFill="1" applyBorder="1" applyAlignment="1">
      <alignment horizontal="center" vertical="center"/>
    </xf>
    <xf numFmtId="49" fontId="12" fillId="19" borderId="133" xfId="1" applyNumberFormat="1" applyFont="1" applyFill="1" applyBorder="1" applyAlignment="1">
      <alignment horizontal="center" vertical="center"/>
    </xf>
    <xf numFmtId="0" fontId="41" fillId="0" borderId="0" xfId="1" applyFont="1" applyBorder="1" applyAlignment="1">
      <alignment horizontal="left"/>
    </xf>
    <xf numFmtId="49" fontId="98" fillId="0" borderId="708" xfId="1" applyNumberFormat="1" applyFont="1" applyBorder="1" applyAlignment="1">
      <alignment horizontal="center" vertical="center"/>
    </xf>
    <xf numFmtId="0" fontId="99" fillId="0" borderId="709" xfId="1" applyFont="1" applyBorder="1" applyAlignment="1">
      <alignment horizontal="left" vertical="center" wrapText="1"/>
    </xf>
    <xf numFmtId="0" fontId="98" fillId="0" borderId="709" xfId="1" applyFont="1" applyBorder="1" applyAlignment="1">
      <alignment horizontal="center" vertical="center"/>
    </xf>
    <xf numFmtId="49" fontId="98" fillId="0" borderId="709" xfId="1" applyNumberFormat="1" applyFont="1" applyBorder="1" applyAlignment="1">
      <alignment horizontal="center" vertical="center"/>
    </xf>
    <xf numFmtId="49" fontId="9" fillId="20" borderId="709" xfId="1" applyNumberFormat="1" applyFont="1" applyFill="1" applyBorder="1" applyAlignment="1">
      <alignment horizontal="left" vertical="center"/>
    </xf>
    <xf numFmtId="49" fontId="68" fillId="0" borderId="708" xfId="1" applyNumberFormat="1" applyFont="1" applyBorder="1" applyAlignment="1">
      <alignment horizontal="center" vertical="top"/>
    </xf>
    <xf numFmtId="49" fontId="68" fillId="0" borderId="709" xfId="1" applyNumberFormat="1" applyFont="1" applyBorder="1" applyAlignment="1">
      <alignment horizontal="center" vertical="top"/>
    </xf>
    <xf numFmtId="49" fontId="68" fillId="0" borderId="710" xfId="1" applyNumberFormat="1" applyFont="1" applyBorder="1" applyAlignment="1">
      <alignment horizontal="center" vertical="top"/>
    </xf>
    <xf numFmtId="49" fontId="37" fillId="0" borderId="713" xfId="1" applyNumberFormat="1" applyFont="1" applyBorder="1" applyAlignment="1">
      <alignment horizontal="center" vertical="center"/>
    </xf>
    <xf numFmtId="49" fontId="37" fillId="0" borderId="102" xfId="1" applyNumberFormat="1" applyFont="1" applyBorder="1" applyAlignment="1">
      <alignment horizontal="center" vertical="center"/>
    </xf>
    <xf numFmtId="49" fontId="37" fillId="0" borderId="459" xfId="1" applyNumberFormat="1" applyFont="1" applyBorder="1" applyAlignment="1">
      <alignment horizontal="center" vertical="center"/>
    </xf>
    <xf numFmtId="0" fontId="13" fillId="0" borderId="711" xfId="1" applyFont="1" applyBorder="1" applyAlignment="1">
      <alignment horizontal="left" vertical="center" wrapText="1"/>
    </xf>
    <xf numFmtId="0" fontId="13" fillId="0" borderId="167" xfId="1" applyFont="1" applyBorder="1" applyAlignment="1">
      <alignment horizontal="left" vertical="center" wrapText="1"/>
    </xf>
    <xf numFmtId="0" fontId="13" fillId="0" borderId="712" xfId="1" applyFont="1" applyBorder="1" applyAlignment="1">
      <alignment horizontal="left" vertical="center" wrapText="1"/>
    </xf>
    <xf numFmtId="0" fontId="37" fillId="0" borderId="711" xfId="1" applyFont="1" applyBorder="1" applyAlignment="1">
      <alignment horizontal="center" vertical="center"/>
    </xf>
    <xf numFmtId="0" fontId="37" fillId="0" borderId="167" xfId="1" applyFont="1" applyBorder="1" applyAlignment="1">
      <alignment horizontal="center" vertical="center"/>
    </xf>
    <xf numFmtId="0" fontId="37" fillId="0" borderId="712" xfId="1" applyFont="1" applyBorder="1" applyAlignment="1">
      <alignment horizontal="center" vertical="center"/>
    </xf>
    <xf numFmtId="49" fontId="37" fillId="0" borderId="711" xfId="1" applyNumberFormat="1" applyFont="1" applyBorder="1" applyAlignment="1">
      <alignment horizontal="center" vertical="center"/>
    </xf>
    <xf numFmtId="49" fontId="37" fillId="0" borderId="167" xfId="1" applyNumberFormat="1" applyFont="1" applyBorder="1" applyAlignment="1">
      <alignment horizontal="center" vertical="center"/>
    </xf>
    <xf numFmtId="49" fontId="37" fillId="0" borderId="712" xfId="1" applyNumberFormat="1" applyFont="1" applyBorder="1" applyAlignment="1">
      <alignment horizontal="center" vertical="center"/>
    </xf>
    <xf numFmtId="49" fontId="12" fillId="0" borderId="708" xfId="1" applyNumberFormat="1" applyFont="1" applyBorder="1" applyAlignment="1">
      <alignment horizontal="center" vertical="top"/>
    </xf>
    <xf numFmtId="49" fontId="12" fillId="0" borderId="709" xfId="1" applyNumberFormat="1" applyFont="1" applyBorder="1" applyAlignment="1">
      <alignment horizontal="center" vertical="top"/>
    </xf>
    <xf numFmtId="49" fontId="12" fillId="0" borderId="710" xfId="1" applyNumberFormat="1" applyFont="1" applyBorder="1" applyAlignment="1">
      <alignment horizontal="center" vertical="top"/>
    </xf>
    <xf numFmtId="49" fontId="9" fillId="20" borderId="709" xfId="1" applyNumberFormat="1" applyFont="1" applyFill="1" applyBorder="1" applyAlignment="1">
      <alignment horizontal="left" vertical="center" wrapText="1"/>
    </xf>
    <xf numFmtId="0" fontId="37" fillId="0" borderId="709" xfId="1" applyFont="1" applyBorder="1" applyAlignment="1">
      <alignment horizontal="left" vertical="center" wrapText="1"/>
    </xf>
    <xf numFmtId="0" fontId="37" fillId="0" borderId="714" xfId="1" applyFont="1" applyBorder="1" applyAlignment="1">
      <alignment horizontal="center" vertical="center"/>
    </xf>
    <xf numFmtId="0" fontId="37" fillId="0" borderId="715" xfId="1" applyFont="1" applyBorder="1" applyAlignment="1">
      <alignment horizontal="center" vertical="center"/>
    </xf>
    <xf numFmtId="0" fontId="37" fillId="0" borderId="329" xfId="1" applyFont="1" applyBorder="1" applyAlignment="1">
      <alignment horizontal="center" vertical="center"/>
    </xf>
    <xf numFmtId="0" fontId="37" fillId="0" borderId="328" xfId="1" applyFont="1" applyBorder="1" applyAlignment="1">
      <alignment horizontal="center" vertical="center"/>
    </xf>
    <xf numFmtId="0" fontId="37" fillId="0" borderId="711" xfId="1" applyFont="1" applyBorder="1" applyAlignment="1">
      <alignment horizontal="left" vertical="center" wrapText="1"/>
    </xf>
    <xf numFmtId="0" fontId="37" fillId="0" borderId="167" xfId="1" applyFont="1" applyBorder="1" applyAlignment="1">
      <alignment horizontal="left" vertical="center" wrapText="1"/>
    </xf>
    <xf numFmtId="0" fontId="37" fillId="0" borderId="712" xfId="1" applyFont="1" applyBorder="1" applyAlignment="1">
      <alignment horizontal="left" vertical="center" wrapText="1"/>
    </xf>
    <xf numFmtId="0" fontId="37" fillId="0" borderId="711" xfId="1" applyNumberFormat="1" applyFont="1" applyBorder="1" applyAlignment="1">
      <alignment horizontal="center" vertical="center"/>
    </xf>
    <xf numFmtId="0" fontId="37" fillId="0" borderId="712" xfId="1" applyNumberFormat="1" applyFont="1" applyBorder="1" applyAlignment="1">
      <alignment horizontal="center" vertical="center"/>
    </xf>
    <xf numFmtId="0" fontId="37" fillId="0" borderId="709" xfId="1" applyNumberFormat="1" applyFont="1" applyBorder="1" applyAlignment="1">
      <alignment horizontal="center" vertical="center"/>
    </xf>
    <xf numFmtId="0" fontId="14" fillId="0" borderId="0" xfId="1" applyFont="1" applyAlignment="1">
      <alignment horizontal="right" vertical="center" wrapText="1"/>
    </xf>
    <xf numFmtId="0" fontId="16" fillId="0" borderId="0" xfId="1" applyFont="1" applyBorder="1" applyAlignment="1">
      <alignment horizontal="center" vertical="center" wrapText="1"/>
    </xf>
    <xf numFmtId="0" fontId="89" fillId="0" borderId="0" xfId="1" applyFont="1" applyBorder="1" applyAlignment="1">
      <alignment horizontal="right" vertical="center"/>
    </xf>
    <xf numFmtId="0" fontId="90" fillId="19" borderId="139" xfId="1" applyFont="1" applyFill="1" applyBorder="1" applyAlignment="1">
      <alignment horizontal="center" vertical="center"/>
    </xf>
    <xf numFmtId="0" fontId="90" fillId="19" borderId="708" xfId="1" applyFont="1" applyFill="1" applyBorder="1" applyAlignment="1">
      <alignment horizontal="center" vertical="center"/>
    </xf>
    <xf numFmtId="0" fontId="90" fillId="19" borderId="140" xfId="1" applyFont="1" applyFill="1" applyBorder="1" applyAlignment="1">
      <alignment horizontal="center" vertical="center"/>
    </xf>
    <xf numFmtId="0" fontId="90" fillId="19" borderId="709" xfId="1" applyFont="1" applyFill="1" applyBorder="1" applyAlignment="1">
      <alignment horizontal="center" vertical="center"/>
    </xf>
    <xf numFmtId="0" fontId="91" fillId="19" borderId="140" xfId="1" applyFont="1" applyFill="1" applyBorder="1" applyAlignment="1">
      <alignment horizontal="center" vertical="center"/>
    </xf>
    <xf numFmtId="0" fontId="90" fillId="19" borderId="140" xfId="1" applyFont="1" applyFill="1" applyBorder="1" applyAlignment="1">
      <alignment horizontal="center" vertical="center" wrapText="1"/>
    </xf>
    <xf numFmtId="0" fontId="90" fillId="19" borderId="709" xfId="1" applyFont="1" applyFill="1" applyBorder="1" applyAlignment="1">
      <alignment horizontal="center" vertical="center" wrapText="1"/>
    </xf>
    <xf numFmtId="0" fontId="91" fillId="19" borderId="140" xfId="1" applyFont="1" applyFill="1" applyBorder="1" applyAlignment="1">
      <alignment horizontal="center" vertical="center" wrapText="1"/>
    </xf>
    <xf numFmtId="0" fontId="92" fillId="19" borderId="140" xfId="1" applyFont="1" applyFill="1" applyBorder="1" applyAlignment="1">
      <alignment horizontal="center" vertical="center" wrapText="1"/>
    </xf>
    <xf numFmtId="0" fontId="92" fillId="19" borderId="709" xfId="1" applyFont="1" applyFill="1" applyBorder="1" applyAlignment="1">
      <alignment horizontal="center" vertical="center" wrapText="1"/>
    </xf>
    <xf numFmtId="0" fontId="92" fillId="19" borderId="140" xfId="1" applyFont="1" applyFill="1" applyBorder="1" applyAlignment="1">
      <alignment horizontal="center" vertical="center"/>
    </xf>
    <xf numFmtId="0" fontId="92" fillId="19" borderId="138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16" fillId="2" borderId="9" xfId="1" applyFont="1" applyFill="1" applyBorder="1" applyAlignment="1">
      <alignment horizontal="center" vertical="center"/>
    </xf>
    <xf numFmtId="0" fontId="16" fillId="2" borderId="13" xfId="1" applyFont="1" applyFill="1" applyBorder="1" applyAlignment="1">
      <alignment horizontal="center" vertical="center"/>
    </xf>
    <xf numFmtId="0" fontId="16" fillId="2" borderId="12" xfId="1" applyFont="1" applyFill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12" xfId="1" applyFont="1" applyFill="1" applyBorder="1" applyAlignment="1">
      <alignment horizontal="center" vertical="center"/>
    </xf>
    <xf numFmtId="0" fontId="21" fillId="0" borderId="6" xfId="1" applyFont="1" applyBorder="1" applyAlignment="1">
      <alignment horizontal="left"/>
    </xf>
    <xf numFmtId="0" fontId="21" fillId="0" borderId="0" xfId="1" applyFont="1" applyBorder="1" applyAlignment="1">
      <alignment horizontal="left"/>
    </xf>
    <xf numFmtId="0" fontId="21" fillId="0" borderId="5" xfId="1" applyFont="1" applyBorder="1" applyAlignment="1">
      <alignment horizontal="left"/>
    </xf>
    <xf numFmtId="0" fontId="12" fillId="0" borderId="19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 wrapText="1"/>
    </xf>
    <xf numFmtId="0" fontId="11" fillId="4" borderId="12" xfId="1" applyFont="1" applyFill="1" applyBorder="1" applyAlignment="1">
      <alignment horizontal="center" vertical="center" wrapText="1"/>
    </xf>
    <xf numFmtId="0" fontId="12" fillId="0" borderId="17" xfId="1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wrapText="1"/>
    </xf>
    <xf numFmtId="0" fontId="21" fillId="0" borderId="0" xfId="1" applyFont="1" applyBorder="1" applyAlignment="1">
      <alignment horizontal="left" vertical="center"/>
    </xf>
    <xf numFmtId="0" fontId="12" fillId="0" borderId="8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12" fillId="0" borderId="81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8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19" xfId="4" applyFont="1" applyBorder="1" applyAlignment="1">
      <alignment horizontal="left" vertical="center" wrapText="1"/>
    </xf>
    <xf numFmtId="0" fontId="7" fillId="0" borderId="14" xfId="4" applyFont="1" applyBorder="1" applyAlignment="1">
      <alignment horizontal="left" vertical="center" wrapText="1"/>
    </xf>
    <xf numFmtId="0" fontId="12" fillId="0" borderId="19" xfId="4" applyFont="1" applyBorder="1" applyAlignment="1">
      <alignment horizontal="center" vertical="center"/>
    </xf>
    <xf numFmtId="0" fontId="12" fillId="0" borderId="17" xfId="4" applyFont="1" applyBorder="1" applyAlignment="1">
      <alignment horizontal="center" vertical="center"/>
    </xf>
    <xf numFmtId="0" fontId="12" fillId="0" borderId="14" xfId="4" applyFont="1" applyBorder="1" applyAlignment="1">
      <alignment horizontal="center" vertical="center"/>
    </xf>
    <xf numFmtId="3" fontId="12" fillId="0" borderId="17" xfId="4" applyNumberFormat="1" applyFont="1" applyBorder="1" applyAlignment="1">
      <alignment horizontal="right" vertical="center"/>
    </xf>
    <xf numFmtId="3" fontId="12" fillId="0" borderId="14" xfId="4" applyNumberFormat="1" applyFont="1" applyBorder="1" applyAlignment="1">
      <alignment horizontal="right" vertical="center"/>
    </xf>
    <xf numFmtId="3" fontId="12" fillId="0" borderId="19" xfId="4" applyNumberFormat="1" applyFont="1" applyBorder="1" applyAlignment="1">
      <alignment horizontal="right" vertical="center"/>
    </xf>
    <xf numFmtId="3" fontId="12" fillId="0" borderId="19" xfId="4" applyNumberFormat="1" applyFont="1" applyBorder="1" applyAlignment="1">
      <alignment horizontal="center" vertical="center"/>
    </xf>
    <xf numFmtId="3" fontId="12" fillId="0" borderId="14" xfId="4" applyNumberFormat="1" applyFont="1" applyBorder="1" applyAlignment="1">
      <alignment horizontal="center" vertical="center"/>
    </xf>
    <xf numFmtId="0" fontId="7" fillId="0" borderId="19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3" fontId="12" fillId="0" borderId="17" xfId="4" applyNumberFormat="1" applyFont="1" applyBorder="1" applyAlignment="1">
      <alignment horizontal="center" vertical="center"/>
    </xf>
    <xf numFmtId="0" fontId="33" fillId="3" borderId="56" xfId="1" applyFont="1" applyFill="1" applyBorder="1" applyAlignment="1">
      <alignment horizontal="center" vertical="center"/>
    </xf>
    <xf numFmtId="0" fontId="33" fillId="3" borderId="27" xfId="1" applyFont="1" applyFill="1" applyBorder="1" applyAlignment="1">
      <alignment horizontal="center" vertical="center"/>
    </xf>
    <xf numFmtId="0" fontId="33" fillId="3" borderId="13" xfId="1" applyFont="1" applyFill="1" applyBorder="1" applyAlignment="1">
      <alignment horizontal="center" vertical="center"/>
    </xf>
    <xf numFmtId="49" fontId="34" fillId="6" borderId="8" xfId="1" applyNumberFormat="1" applyFont="1" applyFill="1" applyBorder="1" applyAlignment="1">
      <alignment horizontal="center" vertical="center"/>
    </xf>
    <xf numFmtId="49" fontId="34" fillId="6" borderId="81" xfId="1" applyNumberFormat="1" applyFont="1" applyFill="1" applyBorder="1" applyAlignment="1">
      <alignment horizontal="center" vertical="center"/>
    </xf>
    <xf numFmtId="49" fontId="34" fillId="6" borderId="7" xfId="1" applyNumberFormat="1" applyFont="1" applyFill="1" applyBorder="1" applyAlignment="1">
      <alignment horizontal="center" vertical="center"/>
    </xf>
    <xf numFmtId="0" fontId="7" fillId="6" borderId="19" xfId="1" applyFont="1" applyFill="1" applyBorder="1" applyAlignment="1">
      <alignment horizontal="left" vertical="center" wrapText="1"/>
    </xf>
    <xf numFmtId="0" fontId="7" fillId="6" borderId="17" xfId="1" applyFont="1" applyFill="1" applyBorder="1" applyAlignment="1">
      <alignment horizontal="left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56" xfId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center" vertical="center"/>
    </xf>
    <xf numFmtId="0" fontId="12" fillId="0" borderId="7" xfId="4" applyFont="1" applyBorder="1" applyAlignment="1">
      <alignment horizontal="center" vertical="center"/>
    </xf>
    <xf numFmtId="0" fontId="5" fillId="0" borderId="19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2" fillId="0" borderId="6" xfId="1" applyFont="1" applyFill="1" applyBorder="1" applyAlignment="1">
      <alignment horizontal="center" vertical="center"/>
    </xf>
    <xf numFmtId="0" fontId="34" fillId="6" borderId="61" xfId="1" applyFont="1" applyFill="1" applyBorder="1" applyAlignment="1">
      <alignment horizontal="center" vertical="center"/>
    </xf>
    <xf numFmtId="0" fontId="34" fillId="6" borderId="80" xfId="1" applyFont="1" applyFill="1" applyBorder="1" applyAlignment="1">
      <alignment horizontal="center" vertical="center"/>
    </xf>
    <xf numFmtId="0" fontId="34" fillId="6" borderId="89" xfId="1" applyFont="1" applyFill="1" applyBorder="1" applyAlignment="1">
      <alignment horizontal="center" vertical="center"/>
    </xf>
    <xf numFmtId="0" fontId="12" fillId="0" borderId="11" xfId="4" applyFont="1" applyBorder="1" applyAlignment="1">
      <alignment horizontal="center" vertical="center"/>
    </xf>
    <xf numFmtId="0" fontId="12" fillId="0" borderId="56" xfId="4" applyFont="1" applyBorder="1" applyAlignment="1">
      <alignment horizontal="center" vertical="center"/>
    </xf>
    <xf numFmtId="49" fontId="12" fillId="6" borderId="8" xfId="1" applyNumberFormat="1" applyFont="1" applyFill="1" applyBorder="1" applyAlignment="1">
      <alignment horizontal="center" vertical="center"/>
    </xf>
    <xf numFmtId="49" fontId="12" fillId="6" borderId="81" xfId="1" applyNumberFormat="1" applyFont="1" applyFill="1" applyBorder="1" applyAlignment="1">
      <alignment horizontal="center" vertical="center"/>
    </xf>
    <xf numFmtId="49" fontId="12" fillId="6" borderId="88" xfId="1" applyNumberFormat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18" fillId="0" borderId="0" xfId="1" applyFont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3" fontId="11" fillId="3" borderId="4" xfId="1" applyNumberFormat="1" applyFont="1" applyFill="1" applyBorder="1" applyAlignment="1">
      <alignment horizontal="center" vertical="center" wrapText="1"/>
    </xf>
    <xf numFmtId="3" fontId="12" fillId="0" borderId="19" xfId="1" applyNumberFormat="1" applyFont="1" applyBorder="1" applyAlignment="1">
      <alignment horizontal="center" vertical="center"/>
    </xf>
    <xf numFmtId="3" fontId="12" fillId="0" borderId="14" xfId="1" applyNumberFormat="1" applyFont="1" applyBorder="1" applyAlignment="1">
      <alignment horizontal="center" vertical="center"/>
    </xf>
    <xf numFmtId="0" fontId="7" fillId="0" borderId="14" xfId="1" applyFont="1" applyBorder="1" applyAlignment="1">
      <alignment horizontal="left" vertical="center" wrapText="1"/>
    </xf>
    <xf numFmtId="3" fontId="12" fillId="0" borderId="17" xfId="1" applyNumberFormat="1" applyFont="1" applyBorder="1" applyAlignment="1">
      <alignment horizontal="center" vertical="center"/>
    </xf>
    <xf numFmtId="3" fontId="12" fillId="6" borderId="8" xfId="1" applyNumberFormat="1" applyFont="1" applyFill="1" applyBorder="1" applyAlignment="1">
      <alignment horizontal="right" vertical="center"/>
    </xf>
    <xf numFmtId="3" fontId="12" fillId="6" borderId="81" xfId="1" applyNumberFormat="1" applyFont="1" applyFill="1" applyBorder="1" applyAlignment="1">
      <alignment horizontal="right" vertical="center"/>
    </xf>
    <xf numFmtId="3" fontId="12" fillId="6" borderId="88" xfId="1" applyNumberFormat="1" applyFont="1" applyFill="1" applyBorder="1" applyAlignment="1">
      <alignment horizontal="right" vertical="center"/>
    </xf>
    <xf numFmtId="3" fontId="12" fillId="0" borderId="8" xfId="4" applyNumberFormat="1" applyFont="1" applyBorder="1" applyAlignment="1">
      <alignment horizontal="center" vertical="center"/>
    </xf>
    <xf numFmtId="3" fontId="12" fillId="0" borderId="7" xfId="4" applyNumberFormat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56" xfId="1" applyFont="1" applyBorder="1" applyAlignment="1">
      <alignment horizontal="center" vertical="center"/>
    </xf>
    <xf numFmtId="49" fontId="11" fillId="0" borderId="19" xfId="1" applyNumberFormat="1" applyFont="1" applyBorder="1" applyAlignment="1">
      <alignment horizontal="center" vertical="center"/>
    </xf>
    <xf numFmtId="49" fontId="11" fillId="0" borderId="14" xfId="1" applyNumberFormat="1" applyFont="1" applyBorder="1" applyAlignment="1">
      <alignment horizontal="center" vertical="center"/>
    </xf>
    <xf numFmtId="0" fontId="11" fillId="0" borderId="61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8" fillId="3" borderId="12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/>
    </xf>
    <xf numFmtId="0" fontId="11" fillId="3" borderId="14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20" fillId="0" borderId="8" xfId="1" applyFont="1" applyBorder="1" applyAlignment="1">
      <alignment horizontal="left" vertical="center" wrapText="1"/>
    </xf>
    <xf numFmtId="0" fontId="20" fillId="0" borderId="7" xfId="1" applyFont="1" applyBorder="1" applyAlignment="1">
      <alignment horizontal="left" vertical="center" wrapText="1"/>
    </xf>
    <xf numFmtId="0" fontId="7" fillId="0" borderId="0" xfId="1" applyFont="1" applyAlignment="1">
      <alignment horizontal="center" vertical="top"/>
    </xf>
    <xf numFmtId="0" fontId="15" fillId="0" borderId="0" xfId="1" applyFont="1" applyAlignment="1">
      <alignment horizontal="center" vertical="top"/>
    </xf>
    <xf numFmtId="49" fontId="11" fillId="3" borderId="4" xfId="1" applyNumberFormat="1" applyFont="1" applyFill="1" applyBorder="1" applyAlignment="1">
      <alignment horizontal="center" vertical="center"/>
    </xf>
    <xf numFmtId="0" fontId="20" fillId="0" borderId="19" xfId="1" applyNumberFormat="1" applyFont="1" applyBorder="1" applyAlignment="1">
      <alignment horizontal="center" vertical="center"/>
    </xf>
    <xf numFmtId="0" fontId="20" fillId="0" borderId="17" xfId="1" applyNumberFormat="1" applyFont="1" applyBorder="1" applyAlignment="1">
      <alignment horizontal="center" vertical="center"/>
    </xf>
    <xf numFmtId="49" fontId="16" fillId="4" borderId="4" xfId="1" applyNumberFormat="1" applyFont="1" applyFill="1" applyBorder="1" applyAlignment="1">
      <alignment horizontal="center" vertical="center"/>
    </xf>
    <xf numFmtId="49" fontId="16" fillId="4" borderId="9" xfId="1" applyNumberFormat="1" applyFont="1" applyFill="1" applyBorder="1" applyAlignment="1">
      <alignment horizontal="center" vertical="center"/>
    </xf>
    <xf numFmtId="0" fontId="11" fillId="5" borderId="29" xfId="1" applyFont="1" applyFill="1" applyBorder="1" applyAlignment="1">
      <alignment horizontal="center" vertical="center" wrapText="1"/>
    </xf>
    <xf numFmtId="0" fontId="11" fillId="5" borderId="91" xfId="1" applyFont="1" applyFill="1" applyBorder="1" applyAlignment="1">
      <alignment horizontal="center" vertical="center" wrapText="1"/>
    </xf>
    <xf numFmtId="49" fontId="20" fillId="0" borderId="75" xfId="1" applyNumberFormat="1" applyFont="1" applyBorder="1" applyAlignment="1">
      <alignment horizontal="center" vertical="center"/>
    </xf>
    <xf numFmtId="49" fontId="20" fillId="0" borderId="1" xfId="1" applyNumberFormat="1" applyFont="1" applyBorder="1" applyAlignment="1">
      <alignment horizontal="center" vertical="center"/>
    </xf>
    <xf numFmtId="49" fontId="20" fillId="0" borderId="95" xfId="1" applyNumberFormat="1" applyFont="1" applyBorder="1" applyAlignment="1">
      <alignment horizontal="center" vertical="center" wrapText="1"/>
    </xf>
    <xf numFmtId="49" fontId="20" fillId="0" borderId="49" xfId="1" applyNumberFormat="1" applyFont="1" applyBorder="1" applyAlignment="1">
      <alignment horizontal="center" vertical="center" wrapText="1"/>
    </xf>
    <xf numFmtId="49" fontId="11" fillId="0" borderId="17" xfId="1" applyNumberFormat="1" applyFont="1" applyBorder="1" applyAlignment="1">
      <alignment horizontal="center" vertical="center"/>
    </xf>
    <xf numFmtId="49" fontId="11" fillId="4" borderId="29" xfId="1" applyNumberFormat="1" applyFont="1" applyFill="1" applyBorder="1" applyAlignment="1">
      <alignment horizontal="center" vertical="center" wrapText="1"/>
    </xf>
    <xf numFmtId="49" fontId="11" fillId="4" borderId="91" xfId="1" applyNumberFormat="1" applyFont="1" applyFill="1" applyBorder="1" applyAlignment="1">
      <alignment horizontal="center" vertical="center" wrapText="1"/>
    </xf>
    <xf numFmtId="49" fontId="20" fillId="4" borderId="9" xfId="1" applyNumberFormat="1" applyFont="1" applyFill="1" applyBorder="1" applyAlignment="1">
      <alignment horizontal="center" vertical="center"/>
    </xf>
    <xf numFmtId="49" fontId="20" fillId="4" borderId="12" xfId="1" applyNumberFormat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0" fontId="21" fillId="2" borderId="13" xfId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 wrapText="1"/>
    </xf>
    <xf numFmtId="0" fontId="21" fillId="2" borderId="17" xfId="1" applyFont="1" applyFill="1" applyBorder="1" applyAlignment="1">
      <alignment horizontal="center" vertical="center" wrapText="1"/>
    </xf>
    <xf numFmtId="0" fontId="21" fillId="2" borderId="11" xfId="1" applyFont="1" applyFill="1" applyBorder="1" applyAlignment="1">
      <alignment horizontal="center" vertical="center" wrapText="1"/>
    </xf>
    <xf numFmtId="0" fontId="21" fillId="2" borderId="6" xfId="1" applyFont="1" applyFill="1" applyBorder="1" applyAlignment="1">
      <alignment horizontal="center" vertical="center" wrapText="1"/>
    </xf>
    <xf numFmtId="0" fontId="11" fillId="4" borderId="25" xfId="1" applyFont="1" applyFill="1" applyBorder="1" applyAlignment="1">
      <alignment horizontal="center" vertical="center" wrapText="1"/>
    </xf>
    <xf numFmtId="49" fontId="11" fillId="0" borderId="37" xfId="1" applyNumberFormat="1" applyFont="1" applyBorder="1" applyAlignment="1">
      <alignment horizontal="center" vertical="center"/>
    </xf>
    <xf numFmtId="49" fontId="11" fillId="0" borderId="34" xfId="1" applyNumberFormat="1" applyFont="1" applyBorder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/>
    </xf>
    <xf numFmtId="49" fontId="11" fillId="2" borderId="9" xfId="1" applyNumberFormat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3" fontId="20" fillId="4" borderId="43" xfId="1" applyNumberFormat="1" applyFont="1" applyFill="1" applyBorder="1" applyAlignment="1">
      <alignment horizontal="right" vertical="center"/>
    </xf>
    <xf numFmtId="3" fontId="20" fillId="4" borderId="78" xfId="1" applyNumberFormat="1" applyFont="1" applyFill="1" applyBorder="1" applyAlignment="1">
      <alignment horizontal="right" vertical="center"/>
    </xf>
    <xf numFmtId="3" fontId="26" fillId="4" borderId="80" xfId="1" applyNumberFormat="1" applyFont="1" applyFill="1" applyBorder="1" applyAlignment="1">
      <alignment horizontal="right" vertical="center" wrapText="1"/>
    </xf>
    <xf numFmtId="3" fontId="26" fillId="4" borderId="47" xfId="1" applyNumberFormat="1" applyFont="1" applyFill="1" applyBorder="1" applyAlignment="1">
      <alignment horizontal="right" vertical="center" wrapText="1"/>
    </xf>
    <xf numFmtId="3" fontId="20" fillId="0" borderId="80" xfId="1" applyNumberFormat="1" applyFont="1" applyBorder="1" applyAlignment="1">
      <alignment horizontal="right" vertical="center"/>
    </xf>
    <xf numFmtId="3" fontId="20" fillId="0" borderId="47" xfId="1" applyNumberFormat="1" applyFont="1" applyBorder="1" applyAlignment="1">
      <alignment horizontal="right" vertical="center"/>
    </xf>
    <xf numFmtId="3" fontId="11" fillId="4" borderId="69" xfId="1" applyNumberFormat="1" applyFont="1" applyFill="1" applyBorder="1" applyAlignment="1">
      <alignment horizontal="right" vertical="center"/>
    </xf>
    <xf numFmtId="3" fontId="11" fillId="4" borderId="70" xfId="1" applyNumberFormat="1" applyFont="1" applyFill="1" applyBorder="1" applyAlignment="1">
      <alignment horizontal="right" vertical="center"/>
    </xf>
    <xf numFmtId="0" fontId="11" fillId="2" borderId="53" xfId="1" applyFont="1" applyFill="1" applyBorder="1" applyAlignment="1">
      <alignment horizontal="center" vertical="center" wrapText="1"/>
    </xf>
    <xf numFmtId="0" fontId="11" fillId="2" borderId="78" xfId="1" applyFont="1" applyFill="1" applyBorder="1" applyAlignment="1">
      <alignment horizontal="center" vertical="center" wrapText="1"/>
    </xf>
    <xf numFmtId="49" fontId="16" fillId="2" borderId="29" xfId="1" applyNumberFormat="1" applyFont="1" applyFill="1" applyBorder="1" applyAlignment="1">
      <alignment horizontal="center" vertical="center"/>
    </xf>
    <xf numFmtId="49" fontId="16" fillId="2" borderId="90" xfId="1" applyNumberFormat="1" applyFont="1" applyFill="1" applyBorder="1" applyAlignment="1">
      <alignment horizontal="center" vertical="center"/>
    </xf>
    <xf numFmtId="49" fontId="16" fillId="2" borderId="91" xfId="1" applyNumberFormat="1" applyFont="1" applyFill="1" applyBorder="1" applyAlignment="1">
      <alignment horizontal="center" vertical="center"/>
    </xf>
    <xf numFmtId="3" fontId="16" fillId="2" borderId="9" xfId="1" applyNumberFormat="1" applyFont="1" applyFill="1" applyBorder="1" applyAlignment="1">
      <alignment horizontal="right" vertical="center"/>
    </xf>
    <xf numFmtId="3" fontId="16" fillId="2" borderId="12" xfId="1" applyNumberFormat="1" applyFont="1" applyFill="1" applyBorder="1" applyAlignment="1">
      <alignment horizontal="right" vertical="center"/>
    </xf>
    <xf numFmtId="0" fontId="16" fillId="0" borderId="100" xfId="1" applyFont="1" applyBorder="1" applyAlignment="1">
      <alignment horizontal="center" vertical="center" wrapText="1"/>
    </xf>
    <xf numFmtId="0" fontId="16" fillId="0" borderId="96" xfId="1" applyFont="1" applyBorder="1" applyAlignment="1">
      <alignment horizontal="center" vertical="center" wrapText="1"/>
    </xf>
    <xf numFmtId="0" fontId="16" fillId="0" borderId="101" xfId="1" applyFont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53" xfId="1" applyFont="1" applyFill="1" applyBorder="1" applyAlignment="1">
      <alignment horizontal="center" vertical="center"/>
    </xf>
    <xf numFmtId="0" fontId="11" fillId="2" borderId="78" xfId="1" applyFont="1" applyFill="1" applyBorder="1" applyAlignment="1">
      <alignment horizontal="center" vertical="center"/>
    </xf>
    <xf numFmtId="0" fontId="11" fillId="2" borderId="56" xfId="1" applyFont="1" applyFill="1" applyBorder="1" applyAlignment="1">
      <alignment horizontal="center" vertical="center"/>
    </xf>
    <xf numFmtId="0" fontId="11" fillId="2" borderId="61" xfId="1" applyFont="1" applyFill="1" applyBorder="1" applyAlignment="1">
      <alignment horizontal="center" vertical="center" wrapText="1"/>
    </xf>
    <xf numFmtId="0" fontId="11" fillId="2" borderId="43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/>
    </xf>
    <xf numFmtId="0" fontId="11" fillId="2" borderId="25" xfId="1" applyFont="1" applyFill="1" applyBorder="1" applyAlignment="1">
      <alignment horizontal="center" vertical="center"/>
    </xf>
    <xf numFmtId="0" fontId="11" fillId="2" borderId="38" xfId="1" applyFont="1" applyFill="1" applyBorder="1" applyAlignment="1">
      <alignment horizontal="center" vertical="center"/>
    </xf>
    <xf numFmtId="3" fontId="11" fillId="4" borderId="61" xfId="1" applyNumberFormat="1" applyFont="1" applyFill="1" applyBorder="1" applyAlignment="1">
      <alignment horizontal="right" vertical="center"/>
    </xf>
    <xf numFmtId="3" fontId="11" fillId="4" borderId="53" xfId="1" applyNumberFormat="1" applyFont="1" applyFill="1" applyBorder="1" applyAlignment="1">
      <alignment horizontal="right" vertical="center"/>
    </xf>
    <xf numFmtId="0" fontId="13" fillId="0" borderId="0" xfId="1" applyFont="1" applyAlignment="1">
      <alignment horizontal="center" vertical="center" wrapText="1"/>
    </xf>
    <xf numFmtId="0" fontId="16" fillId="0" borderId="100" xfId="1" applyFont="1" applyFill="1" applyBorder="1" applyAlignment="1">
      <alignment horizontal="center" vertical="center" wrapText="1"/>
    </xf>
    <xf numFmtId="0" fontId="16" fillId="0" borderId="96" xfId="1" applyFont="1" applyFill="1" applyBorder="1" applyAlignment="1">
      <alignment horizontal="center" vertical="center" wrapText="1"/>
    </xf>
    <xf numFmtId="0" fontId="16" fillId="0" borderId="101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/>
    </xf>
    <xf numFmtId="0" fontId="11" fillId="2" borderId="90" xfId="1" applyFont="1" applyFill="1" applyBorder="1" applyAlignment="1">
      <alignment horizontal="center" vertical="center"/>
    </xf>
    <xf numFmtId="0" fontId="11" fillId="2" borderId="44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56" xfId="1" applyFont="1" applyFill="1" applyBorder="1" applyAlignment="1">
      <alignment horizontal="center" vertical="center" wrapText="1"/>
    </xf>
    <xf numFmtId="0" fontId="11" fillId="4" borderId="98" xfId="1" applyFont="1" applyFill="1" applyBorder="1" applyAlignment="1">
      <alignment horizontal="center" vertical="center" wrapText="1"/>
    </xf>
    <xf numFmtId="0" fontId="11" fillId="4" borderId="10" xfId="1" applyFont="1" applyFill="1" applyBorder="1" applyAlignment="1">
      <alignment horizontal="center" vertical="center" wrapText="1"/>
    </xf>
    <xf numFmtId="0" fontId="20" fillId="0" borderId="83" xfId="1" applyFont="1" applyFill="1" applyBorder="1" applyAlignment="1">
      <alignment horizontal="center" vertical="center" wrapText="1"/>
    </xf>
    <xf numFmtId="0" fontId="20" fillId="0" borderId="71" xfId="1" applyFont="1" applyFill="1" applyBorder="1" applyAlignment="1">
      <alignment horizontal="center" vertical="center" wrapText="1"/>
    </xf>
    <xf numFmtId="0" fontId="11" fillId="4" borderId="86" xfId="1" applyFont="1" applyFill="1" applyBorder="1" applyAlignment="1">
      <alignment horizontal="center" vertical="center"/>
    </xf>
    <xf numFmtId="0" fontId="11" fillId="4" borderId="72" xfId="1" applyFont="1" applyFill="1" applyBorder="1" applyAlignment="1">
      <alignment horizontal="center" vertical="center"/>
    </xf>
    <xf numFmtId="0" fontId="20" fillId="0" borderId="36" xfId="1" applyFont="1" applyFill="1" applyBorder="1" applyAlignment="1">
      <alignment horizontal="center" vertical="center" wrapText="1"/>
    </xf>
    <xf numFmtId="0" fontId="20" fillId="0" borderId="99" xfId="1" applyFont="1" applyFill="1" applyBorder="1" applyAlignment="1">
      <alignment horizontal="center" vertical="center" wrapText="1"/>
    </xf>
    <xf numFmtId="49" fontId="11" fillId="0" borderId="69" xfId="1" applyNumberFormat="1" applyFont="1" applyBorder="1" applyAlignment="1">
      <alignment horizontal="center" vertical="center" wrapText="1"/>
    </xf>
    <xf numFmtId="49" fontId="11" fillId="0" borderId="80" xfId="1" applyNumberFormat="1" applyFont="1" applyBorder="1" applyAlignment="1">
      <alignment horizontal="center" vertical="center" wrapText="1"/>
    </xf>
    <xf numFmtId="49" fontId="11" fillId="0" borderId="43" xfId="1" applyNumberFormat="1" applyFont="1" applyBorder="1" applyAlignment="1">
      <alignment horizontal="center" vertical="center" wrapText="1"/>
    </xf>
    <xf numFmtId="0" fontId="11" fillId="4" borderId="35" xfId="1" applyFont="1" applyFill="1" applyBorder="1" applyAlignment="1">
      <alignment horizontal="center" vertical="center"/>
    </xf>
    <xf numFmtId="0" fontId="11" fillId="4" borderId="48" xfId="1" applyFont="1" applyFill="1" applyBorder="1" applyAlignment="1">
      <alignment horizontal="center" vertical="center"/>
    </xf>
    <xf numFmtId="0" fontId="11" fillId="4" borderId="45" xfId="1" applyFont="1" applyFill="1" applyBorder="1" applyAlignment="1">
      <alignment horizontal="center" vertical="center"/>
    </xf>
    <xf numFmtId="49" fontId="20" fillId="0" borderId="65" xfId="1" applyNumberFormat="1" applyFont="1" applyBorder="1" applyAlignment="1">
      <alignment horizontal="center" vertical="center" wrapText="1"/>
    </xf>
    <xf numFmtId="49" fontId="20" fillId="0" borderId="92" xfId="1" applyNumberFormat="1" applyFont="1" applyBorder="1" applyAlignment="1">
      <alignment horizontal="center" vertical="center" wrapText="1"/>
    </xf>
    <xf numFmtId="2" fontId="20" fillId="0" borderId="83" xfId="1" applyNumberFormat="1" applyFont="1" applyBorder="1" applyAlignment="1">
      <alignment horizontal="center" vertical="center"/>
    </xf>
    <xf numFmtId="2" fontId="20" fillId="0" borderId="71" xfId="1" applyNumberFormat="1" applyFont="1" applyBorder="1" applyAlignment="1">
      <alignment horizontal="center" vertical="center"/>
    </xf>
    <xf numFmtId="0" fontId="25" fillId="4" borderId="83" xfId="1" applyFont="1" applyFill="1" applyBorder="1" applyAlignment="1">
      <alignment horizontal="center" vertical="center"/>
    </xf>
    <xf numFmtId="0" fontId="25" fillId="4" borderId="71" xfId="1" applyFont="1" applyFill="1" applyBorder="1" applyAlignment="1">
      <alignment horizontal="center" vertical="center"/>
    </xf>
    <xf numFmtId="0" fontId="25" fillId="4" borderId="86" xfId="1" applyFont="1" applyFill="1" applyBorder="1" applyAlignment="1">
      <alignment horizontal="center" vertical="center"/>
    </xf>
    <xf numFmtId="0" fontId="25" fillId="4" borderId="72" xfId="1" applyFont="1" applyFill="1" applyBorder="1" applyAlignment="1">
      <alignment horizontal="center" vertical="center"/>
    </xf>
    <xf numFmtId="0" fontId="11" fillId="4" borderId="62" xfId="1" applyFont="1" applyFill="1" applyBorder="1" applyAlignment="1">
      <alignment horizontal="center" vertical="center" wrapText="1"/>
    </xf>
    <xf numFmtId="0" fontId="11" fillId="4" borderId="48" xfId="1" applyFont="1" applyFill="1" applyBorder="1" applyAlignment="1">
      <alignment horizontal="center" vertical="center" wrapText="1"/>
    </xf>
    <xf numFmtId="0" fontId="11" fillId="4" borderId="63" xfId="1" applyFont="1" applyFill="1" applyBorder="1" applyAlignment="1">
      <alignment horizontal="center" vertical="center" wrapText="1"/>
    </xf>
    <xf numFmtId="0" fontId="20" fillId="0" borderId="86" xfId="1" applyFont="1" applyFill="1" applyBorder="1" applyAlignment="1">
      <alignment horizontal="center" vertical="center" wrapText="1"/>
    </xf>
    <xf numFmtId="0" fontId="11" fillId="0" borderId="86" xfId="1" applyFont="1" applyFill="1" applyBorder="1" applyAlignment="1">
      <alignment horizontal="center" vertical="center" wrapText="1"/>
    </xf>
    <xf numFmtId="49" fontId="11" fillId="2" borderId="13" xfId="1" applyNumberFormat="1" applyFont="1" applyFill="1" applyBorder="1" applyAlignment="1">
      <alignment horizontal="center" vertical="center"/>
    </xf>
    <xf numFmtId="49" fontId="20" fillId="0" borderId="82" xfId="1" applyNumberFormat="1" applyFont="1" applyBorder="1" applyAlignment="1">
      <alignment horizontal="center" vertical="center"/>
    </xf>
    <xf numFmtId="49" fontId="20" fillId="0" borderId="93" xfId="1" applyNumberFormat="1" applyFont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20" fillId="0" borderId="55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1" fillId="4" borderId="31" xfId="1" applyFont="1" applyFill="1" applyBorder="1" applyAlignment="1">
      <alignment horizontal="center" vertical="center"/>
    </xf>
    <xf numFmtId="0" fontId="11" fillId="4" borderId="25" xfId="1" applyFont="1" applyFill="1" applyBorder="1" applyAlignment="1">
      <alignment horizontal="center" vertical="center"/>
    </xf>
    <xf numFmtId="0" fontId="11" fillId="4" borderId="30" xfId="1" applyFont="1" applyFill="1" applyBorder="1" applyAlignment="1">
      <alignment horizontal="center" vertical="center"/>
    </xf>
    <xf numFmtId="0" fontId="7" fillId="0" borderId="713" xfId="1" applyFont="1" applyBorder="1" applyAlignment="1">
      <alignment horizontal="center" vertical="center"/>
    </xf>
    <xf numFmtId="0" fontId="7" fillId="0" borderId="102" xfId="1" applyFont="1" applyBorder="1" applyAlignment="1">
      <alignment horizontal="center" vertical="center"/>
    </xf>
    <xf numFmtId="0" fontId="7" fillId="0" borderId="459" xfId="1" applyFont="1" applyBorder="1" applyAlignment="1">
      <alignment horizontal="center" vertical="center"/>
    </xf>
    <xf numFmtId="0" fontId="7" fillId="0" borderId="711" xfId="1" applyFont="1" applyBorder="1" applyAlignment="1">
      <alignment horizontal="center" vertical="center"/>
    </xf>
    <xf numFmtId="0" fontId="7" fillId="0" borderId="167" xfId="1" applyFont="1" applyBorder="1" applyAlignment="1">
      <alignment horizontal="center" vertical="center"/>
    </xf>
    <xf numFmtId="0" fontId="7" fillId="0" borderId="712" xfId="1" applyFont="1" applyBorder="1" applyAlignment="1">
      <alignment horizontal="center" vertical="center"/>
    </xf>
    <xf numFmtId="3" fontId="7" fillId="0" borderId="716" xfId="1" applyNumberFormat="1" applyFont="1" applyBorder="1" applyAlignment="1">
      <alignment horizontal="left" vertical="center" wrapText="1"/>
    </xf>
    <xf numFmtId="3" fontId="7" fillId="0" borderId="717" xfId="1" applyNumberFormat="1" applyFont="1" applyBorder="1" applyAlignment="1">
      <alignment horizontal="left" vertical="center" wrapText="1"/>
    </xf>
    <xf numFmtId="3" fontId="7" fillId="0" borderId="463" xfId="1" applyNumberFormat="1" applyFont="1" applyBorder="1" applyAlignment="1">
      <alignment horizontal="left" vertical="center" wrapText="1"/>
    </xf>
    <xf numFmtId="49" fontId="12" fillId="4" borderId="173" xfId="1" applyNumberFormat="1" applyFont="1" applyFill="1" applyBorder="1" applyAlignment="1">
      <alignment horizontal="center" vertical="center"/>
    </xf>
    <xf numFmtId="49" fontId="12" fillId="4" borderId="705" xfId="1" applyNumberFormat="1" applyFont="1" applyFill="1" applyBorder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12" fillId="4" borderId="139" xfId="1" applyFont="1" applyFill="1" applyBorder="1" applyAlignment="1">
      <alignment horizontal="center" vertical="center"/>
    </xf>
    <xf numFmtId="0" fontId="12" fillId="4" borderId="708" xfId="1" applyFont="1" applyFill="1" applyBorder="1" applyAlignment="1">
      <alignment horizontal="center" vertical="center"/>
    </xf>
    <xf numFmtId="0" fontId="12" fillId="4" borderId="140" xfId="1" applyFont="1" applyFill="1" applyBorder="1" applyAlignment="1">
      <alignment horizontal="center" vertical="center"/>
    </xf>
    <xf numFmtId="0" fontId="12" fillId="4" borderId="709" xfId="1" applyFont="1" applyFill="1" applyBorder="1" applyAlignment="1">
      <alignment horizontal="center" vertical="center"/>
    </xf>
    <xf numFmtId="0" fontId="12" fillId="4" borderId="140" xfId="1" applyFont="1" applyFill="1" applyBorder="1" applyAlignment="1">
      <alignment horizontal="center" vertical="center" wrapText="1"/>
    </xf>
    <xf numFmtId="0" fontId="12" fillId="4" borderId="709" xfId="1" applyFont="1" applyFill="1" applyBorder="1" applyAlignment="1">
      <alignment horizontal="center" vertical="center" wrapText="1"/>
    </xf>
    <xf numFmtId="0" fontId="12" fillId="4" borderId="138" xfId="1" applyFont="1" applyFill="1" applyBorder="1" applyAlignment="1">
      <alignment horizontal="center" vertical="center" wrapText="1"/>
    </xf>
    <xf numFmtId="0" fontId="12" fillId="4" borderId="710" xfId="1" applyFont="1" applyFill="1" applyBorder="1" applyAlignment="1">
      <alignment horizontal="center" vertical="center" wrapText="1"/>
    </xf>
    <xf numFmtId="0" fontId="67" fillId="0" borderId="0" xfId="1" applyFont="1" applyAlignment="1">
      <alignment horizontal="center" vertical="center"/>
    </xf>
    <xf numFmtId="49" fontId="12" fillId="4" borderId="175" xfId="1" applyNumberFormat="1" applyFont="1" applyFill="1" applyBorder="1" applyAlignment="1">
      <alignment horizontal="center" vertical="center"/>
    </xf>
    <xf numFmtId="49" fontId="12" fillId="4" borderId="699" xfId="1" applyNumberFormat="1" applyFont="1" applyFill="1" applyBorder="1" applyAlignment="1">
      <alignment horizontal="center" vertical="center"/>
    </xf>
    <xf numFmtId="49" fontId="12" fillId="4" borderId="700" xfId="1" applyNumberFormat="1" applyFont="1" applyFill="1" applyBorder="1" applyAlignment="1">
      <alignment horizontal="center" vertical="center"/>
    </xf>
    <xf numFmtId="0" fontId="7" fillId="0" borderId="713" xfId="1" applyFont="1" applyFill="1" applyBorder="1" applyAlignment="1">
      <alignment horizontal="center" vertical="center"/>
    </xf>
    <xf numFmtId="0" fontId="7" fillId="0" borderId="102" xfId="1" applyFont="1" applyFill="1" applyBorder="1" applyAlignment="1">
      <alignment horizontal="center" vertical="center"/>
    </xf>
    <xf numFmtId="0" fontId="7" fillId="0" borderId="711" xfId="1" applyFont="1" applyFill="1" applyBorder="1" applyAlignment="1">
      <alignment horizontal="center" vertical="center"/>
    </xf>
    <xf numFmtId="0" fontId="7" fillId="0" borderId="167" xfId="1" applyFont="1" applyFill="1" applyBorder="1" applyAlignment="1">
      <alignment horizontal="center" vertical="center"/>
    </xf>
    <xf numFmtId="3" fontId="7" fillId="0" borderId="716" xfId="1" applyNumberFormat="1" applyFont="1" applyFill="1" applyBorder="1" applyAlignment="1">
      <alignment horizontal="left" vertical="center" wrapText="1"/>
    </xf>
    <xf numFmtId="3" fontId="7" fillId="0" borderId="463" xfId="1" applyNumberFormat="1" applyFont="1" applyFill="1" applyBorder="1" applyAlignment="1">
      <alignment horizontal="left" vertical="center" wrapText="1"/>
    </xf>
    <xf numFmtId="0" fontId="7" fillId="0" borderId="459" xfId="1" applyFont="1" applyFill="1" applyBorder="1" applyAlignment="1">
      <alignment horizontal="center" vertical="center"/>
    </xf>
    <xf numFmtId="0" fontId="7" fillId="0" borderId="712" xfId="1" applyFont="1" applyFill="1" applyBorder="1" applyAlignment="1">
      <alignment horizontal="center" vertical="center"/>
    </xf>
    <xf numFmtId="3" fontId="7" fillId="0" borderId="717" xfId="1" applyNumberFormat="1" applyFont="1" applyFill="1" applyBorder="1" applyAlignment="1">
      <alignment horizontal="left" vertical="center" wrapText="1"/>
    </xf>
    <xf numFmtId="0" fontId="12" fillId="4" borderId="100" xfId="1" applyFont="1" applyFill="1" applyBorder="1" applyAlignment="1">
      <alignment horizontal="center" vertical="center"/>
    </xf>
    <xf numFmtId="0" fontId="12" fillId="4" borderId="459" xfId="1" applyFont="1" applyFill="1" applyBorder="1" applyAlignment="1">
      <alignment horizontal="center" vertical="center"/>
    </xf>
    <xf numFmtId="0" fontId="12" fillId="4" borderId="718" xfId="1" applyFont="1" applyFill="1" applyBorder="1" applyAlignment="1">
      <alignment horizontal="center" vertical="center"/>
    </xf>
    <xf numFmtId="0" fontId="12" fillId="4" borderId="712" xfId="1" applyFont="1" applyFill="1" applyBorder="1" applyAlignment="1">
      <alignment horizontal="center" vertical="center"/>
    </xf>
    <xf numFmtId="0" fontId="12" fillId="4" borderId="101" xfId="1" applyFont="1" applyFill="1" applyBorder="1" applyAlignment="1">
      <alignment horizontal="center" vertical="center" wrapText="1"/>
    </xf>
    <xf numFmtId="0" fontId="12" fillId="4" borderId="463" xfId="1" applyFont="1" applyFill="1" applyBorder="1" applyAlignment="1">
      <alignment horizontal="center" vertical="center" wrapText="1"/>
    </xf>
    <xf numFmtId="49" fontId="68" fillId="0" borderId="0" xfId="1" applyNumberFormat="1" applyFont="1" applyAlignment="1">
      <alignment horizontal="center" vertical="center"/>
    </xf>
    <xf numFmtId="0" fontId="7" fillId="0" borderId="716" xfId="1" applyFont="1" applyFill="1" applyBorder="1" applyAlignment="1">
      <alignment horizontal="left" vertical="center" wrapText="1"/>
    </xf>
    <xf numFmtId="0" fontId="7" fillId="0" borderId="717" xfId="1" applyFont="1" applyFill="1" applyBorder="1" applyAlignment="1">
      <alignment horizontal="left" vertical="center" wrapText="1"/>
    </xf>
    <xf numFmtId="0" fontId="7" fillId="0" borderId="463" xfId="1" applyFont="1" applyFill="1" applyBorder="1" applyAlignment="1">
      <alignment horizontal="left" vertical="center" wrapText="1"/>
    </xf>
    <xf numFmtId="0" fontId="14" fillId="0" borderId="0" xfId="1" applyFont="1" applyAlignment="1">
      <alignment horizontal="right" vertical="top" wrapText="1"/>
    </xf>
    <xf numFmtId="0" fontId="1" fillId="0" borderId="0" xfId="14" applyAlignment="1">
      <alignment horizontal="right" vertical="top"/>
    </xf>
    <xf numFmtId="0" fontId="12" fillId="0" borderId="1" xfId="1" applyFont="1" applyBorder="1" applyAlignment="1">
      <alignment horizontal="center" vertical="center" wrapText="1"/>
    </xf>
    <xf numFmtId="0" fontId="12" fillId="0" borderId="167" xfId="1" applyFont="1" applyBorder="1" applyAlignment="1">
      <alignment horizontal="center" vertical="center" wrapText="1"/>
    </xf>
    <xf numFmtId="0" fontId="12" fillId="0" borderId="168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right" vertical="center" wrapText="1"/>
    </xf>
    <xf numFmtId="49" fontId="12" fillId="0" borderId="100" xfId="1" applyNumberFormat="1" applyFont="1" applyBorder="1" applyAlignment="1">
      <alignment horizontal="center" vertical="top"/>
    </xf>
    <xf numFmtId="49" fontId="12" fillId="0" borderId="102" xfId="1" applyNumberFormat="1" applyFont="1" applyBorder="1" applyAlignment="1">
      <alignment horizontal="center" vertical="top"/>
    </xf>
    <xf numFmtId="49" fontId="12" fillId="0" borderId="35" xfId="1" applyNumberFormat="1" applyFont="1" applyBorder="1" applyAlignment="1">
      <alignment horizontal="center" vertical="top"/>
    </xf>
    <xf numFmtId="0" fontId="12" fillId="17" borderId="135" xfId="1" applyFont="1" applyFill="1" applyBorder="1" applyAlignment="1">
      <alignment horizontal="center" vertical="center"/>
    </xf>
    <xf numFmtId="0" fontId="12" fillId="17" borderId="136" xfId="1" applyFont="1" applyFill="1" applyBorder="1" applyAlignment="1">
      <alignment horizontal="center" vertical="center"/>
    </xf>
    <xf numFmtId="0" fontId="12" fillId="17" borderId="137" xfId="1" applyFont="1" applyFill="1" applyBorder="1" applyAlignment="1">
      <alignment horizontal="center" vertical="center"/>
    </xf>
    <xf numFmtId="49" fontId="7" fillId="0" borderId="169" xfId="1" applyNumberFormat="1" applyFont="1" applyBorder="1" applyAlignment="1">
      <alignment horizontal="center" vertical="center"/>
    </xf>
    <xf numFmtId="0" fontId="8" fillId="0" borderId="169" xfId="1" applyFont="1" applyBorder="1" applyAlignment="1">
      <alignment horizontal="center" vertical="center"/>
    </xf>
    <xf numFmtId="49" fontId="12" fillId="0" borderId="171" xfId="1" applyNumberFormat="1" applyFont="1" applyBorder="1" applyAlignment="1">
      <alignment horizontal="center" vertical="top"/>
    </xf>
    <xf numFmtId="0" fontId="12" fillId="17" borderId="172" xfId="1" applyFont="1" applyFill="1" applyBorder="1" applyAlignment="1">
      <alignment horizontal="center" vertical="center"/>
    </xf>
    <xf numFmtId="0" fontId="12" fillId="17" borderId="156" xfId="1" applyFont="1" applyFill="1" applyBorder="1" applyAlignment="1">
      <alignment horizontal="center" vertical="center"/>
    </xf>
    <xf numFmtId="0" fontId="12" fillId="17" borderId="157" xfId="1" applyFont="1" applyFill="1" applyBorder="1" applyAlignment="1">
      <alignment horizontal="center" vertical="center"/>
    </xf>
    <xf numFmtId="49" fontId="12" fillId="0" borderId="147" xfId="1" applyNumberFormat="1" applyFont="1" applyBorder="1" applyAlignment="1">
      <alignment horizontal="center" vertical="top"/>
    </xf>
    <xf numFmtId="0" fontId="8" fillId="0" borderId="169" xfId="1" applyFont="1" applyBorder="1" applyAlignment="1">
      <alignment horizontal="center" vertical="center" wrapText="1"/>
    </xf>
    <xf numFmtId="49" fontId="12" fillId="4" borderId="9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49" fontId="12" fillId="4" borderId="24" xfId="1" applyNumberFormat="1" applyFont="1" applyFill="1" applyBorder="1" applyAlignment="1">
      <alignment horizontal="center" vertical="center"/>
    </xf>
    <xf numFmtId="0" fontId="12" fillId="17" borderId="172" xfId="1" applyFont="1" applyFill="1" applyBorder="1" applyAlignment="1">
      <alignment horizontal="center" vertical="center" wrapText="1"/>
    </xf>
    <xf numFmtId="0" fontId="12" fillId="17" borderId="156" xfId="1" applyFont="1" applyFill="1" applyBorder="1" applyAlignment="1">
      <alignment horizontal="center" vertical="center" wrapText="1"/>
    </xf>
    <xf numFmtId="0" fontId="12" fillId="17" borderId="157" xfId="1" applyFont="1" applyFill="1" applyBorder="1" applyAlignment="1">
      <alignment horizontal="center" vertical="center" wrapText="1"/>
    </xf>
    <xf numFmtId="0" fontId="8" fillId="0" borderId="169" xfId="1" applyFont="1" applyFill="1" applyBorder="1" applyAlignment="1">
      <alignment horizontal="center" vertical="center"/>
    </xf>
    <xf numFmtId="49" fontId="12" fillId="0" borderId="173" xfId="1" applyNumberFormat="1" applyFont="1" applyBorder="1" applyAlignment="1">
      <alignment horizontal="center" vertical="top"/>
    </xf>
    <xf numFmtId="49" fontId="7" fillId="0" borderId="162" xfId="1" applyNumberFormat="1" applyFont="1" applyBorder="1" applyAlignment="1">
      <alignment horizontal="center" vertical="center"/>
    </xf>
    <xf numFmtId="0" fontId="12" fillId="4" borderId="171" xfId="1" applyFont="1" applyFill="1" applyBorder="1" applyAlignment="1">
      <alignment horizontal="center" vertical="center"/>
    </xf>
    <xf numFmtId="0" fontId="12" fillId="4" borderId="173" xfId="1" applyFont="1" applyFill="1" applyBorder="1" applyAlignment="1">
      <alignment horizontal="center" vertical="center"/>
    </xf>
    <xf numFmtId="0" fontId="12" fillId="4" borderId="169" xfId="1" applyFont="1" applyFill="1" applyBorder="1" applyAlignment="1">
      <alignment horizontal="center" vertical="center"/>
    </xf>
    <xf numFmtId="0" fontId="12" fillId="4" borderId="162" xfId="1" applyFont="1" applyFill="1" applyBorder="1" applyAlignment="1">
      <alignment horizontal="center" vertical="center"/>
    </xf>
    <xf numFmtId="0" fontId="12" fillId="4" borderId="174" xfId="1" applyFont="1" applyFill="1" applyBorder="1" applyAlignment="1">
      <alignment horizontal="center" vertical="center"/>
    </xf>
    <xf numFmtId="0" fontId="12" fillId="4" borderId="167" xfId="1" applyFont="1" applyFill="1" applyBorder="1" applyAlignment="1">
      <alignment horizontal="center" vertical="center"/>
    </xf>
    <xf numFmtId="0" fontId="12" fillId="4" borderId="164" xfId="1" applyFont="1" applyFill="1" applyBorder="1" applyAlignment="1">
      <alignment horizontal="center" vertical="center"/>
    </xf>
    <xf numFmtId="0" fontId="12" fillId="4" borderId="169" xfId="1" applyFont="1" applyFill="1" applyBorder="1" applyAlignment="1">
      <alignment horizontal="center" vertical="center" wrapText="1"/>
    </xf>
    <xf numFmtId="0" fontId="12" fillId="4" borderId="162" xfId="1" applyFont="1" applyFill="1" applyBorder="1" applyAlignment="1">
      <alignment horizontal="center" vertical="center" wrapText="1"/>
    </xf>
    <xf numFmtId="0" fontId="12" fillId="4" borderId="135" xfId="1" applyFont="1" applyFill="1" applyBorder="1" applyAlignment="1">
      <alignment horizontal="center" vertical="center" wrapText="1"/>
    </xf>
    <xf numFmtId="0" fontId="12" fillId="4" borderId="136" xfId="1" applyFont="1" applyFill="1" applyBorder="1" applyAlignment="1">
      <alignment horizontal="center" vertical="center" wrapText="1"/>
    </xf>
    <xf numFmtId="0" fontId="12" fillId="4" borderId="137" xfId="1" applyFont="1" applyFill="1" applyBorder="1" applyAlignment="1">
      <alignment horizontal="center" vertical="center" wrapText="1"/>
    </xf>
    <xf numFmtId="0" fontId="12" fillId="4" borderId="170" xfId="1" applyFont="1" applyFill="1" applyBorder="1" applyAlignment="1">
      <alignment horizontal="center" vertical="center" wrapText="1"/>
    </xf>
    <xf numFmtId="0" fontId="12" fillId="4" borderId="149" xfId="1" applyFont="1" applyFill="1" applyBorder="1" applyAlignment="1">
      <alignment horizontal="center" vertical="center" wrapText="1"/>
    </xf>
    <xf numFmtId="0" fontId="12" fillId="4" borderId="160" xfId="1" applyFont="1" applyFill="1" applyBorder="1" applyAlignment="1">
      <alignment horizontal="center" vertical="center" wrapText="1"/>
    </xf>
    <xf numFmtId="0" fontId="12" fillId="4" borderId="164" xfId="1" applyFont="1" applyFill="1" applyBorder="1" applyAlignment="1">
      <alignment horizontal="center" vertical="center" wrapText="1"/>
    </xf>
    <xf numFmtId="0" fontId="12" fillId="18" borderId="48" xfId="1" applyFont="1" applyFill="1" applyBorder="1" applyAlignment="1">
      <alignment horizontal="center" vertical="center"/>
    </xf>
    <xf numFmtId="49" fontId="12" fillId="0" borderId="160" xfId="1" applyNumberFormat="1" applyFont="1" applyFill="1" applyBorder="1" applyAlignment="1">
      <alignment horizontal="center" vertical="center"/>
    </xf>
    <xf numFmtId="49" fontId="12" fillId="0" borderId="167" xfId="1" applyNumberFormat="1" applyFont="1" applyFill="1" applyBorder="1" applyAlignment="1">
      <alignment horizontal="center" vertical="center"/>
    </xf>
    <xf numFmtId="49" fontId="12" fillId="0" borderId="48" xfId="1" applyNumberFormat="1" applyFont="1" applyFill="1" applyBorder="1" applyAlignment="1">
      <alignment horizontal="center" vertical="center"/>
    </xf>
    <xf numFmtId="0" fontId="12" fillId="0" borderId="160" xfId="1" applyFont="1" applyFill="1" applyBorder="1" applyAlignment="1">
      <alignment horizontal="center" vertical="center" wrapText="1"/>
    </xf>
    <xf numFmtId="0" fontId="12" fillId="0" borderId="167" xfId="1" applyFont="1" applyFill="1" applyBorder="1" applyAlignment="1">
      <alignment horizontal="center" vertical="center" wrapText="1"/>
    </xf>
    <xf numFmtId="0" fontId="12" fillId="0" borderId="48" xfId="1" applyFont="1" applyFill="1" applyBorder="1" applyAlignment="1">
      <alignment horizontal="center" vertical="center" wrapText="1"/>
    </xf>
    <xf numFmtId="49" fontId="12" fillId="18" borderId="169" xfId="1" applyNumberFormat="1" applyFont="1" applyFill="1" applyBorder="1" applyAlignment="1">
      <alignment horizontal="center" vertical="center"/>
    </xf>
    <xf numFmtId="0" fontId="12" fillId="18" borderId="169" xfId="1" applyFont="1" applyFill="1" applyBorder="1" applyAlignment="1">
      <alignment horizontal="center" vertical="center"/>
    </xf>
    <xf numFmtId="49" fontId="12" fillId="4" borderId="29" xfId="1" applyNumberFormat="1" applyFont="1" applyFill="1" applyBorder="1" applyAlignment="1">
      <alignment horizontal="center" vertical="center"/>
    </xf>
    <xf numFmtId="49" fontId="12" fillId="4" borderId="133" xfId="1" applyNumberFormat="1" applyFont="1" applyFill="1" applyBorder="1" applyAlignment="1">
      <alignment horizontal="center" vertical="center"/>
    </xf>
    <xf numFmtId="3" fontId="70" fillId="0" borderId="0" xfId="1" applyNumberFormat="1" applyFont="1" applyAlignment="1">
      <alignment horizontal="center" vertical="center" wrapText="1"/>
    </xf>
    <xf numFmtId="0" fontId="70" fillId="0" borderId="0" xfId="1" applyFont="1" applyAlignment="1">
      <alignment horizontal="center" vertical="center" wrapText="1"/>
    </xf>
    <xf numFmtId="0" fontId="12" fillId="18" borderId="169" xfId="1" applyFont="1" applyFill="1" applyBorder="1" applyAlignment="1">
      <alignment horizontal="center" vertical="center" wrapText="1"/>
    </xf>
    <xf numFmtId="0" fontId="12" fillId="0" borderId="160" xfId="1" applyFont="1" applyFill="1" applyBorder="1" applyAlignment="1">
      <alignment horizontal="center" vertical="center"/>
    </xf>
    <xf numFmtId="0" fontId="12" fillId="0" borderId="167" xfId="1" applyFont="1" applyFill="1" applyBorder="1" applyAlignment="1">
      <alignment horizontal="center" vertical="center"/>
    </xf>
    <xf numFmtId="49" fontId="12" fillId="0" borderId="99" xfId="1" applyNumberFormat="1" applyFont="1" applyBorder="1" applyAlignment="1">
      <alignment horizontal="center" vertical="top"/>
    </xf>
    <xf numFmtId="49" fontId="12" fillId="0" borderId="164" xfId="1" applyNumberFormat="1" applyFont="1" applyFill="1" applyBorder="1" applyAlignment="1">
      <alignment horizontal="center" vertical="center"/>
    </xf>
    <xf numFmtId="0" fontId="12" fillId="0" borderId="164" xfId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right" vertical="center" wrapText="1"/>
    </xf>
    <xf numFmtId="0" fontId="12" fillId="3" borderId="141" xfId="1" applyFont="1" applyFill="1" applyBorder="1" applyAlignment="1">
      <alignment horizontal="center" vertical="center"/>
    </xf>
    <xf numFmtId="0" fontId="12" fillId="3" borderId="175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12" fillId="3" borderId="150" xfId="1" applyFont="1" applyFill="1" applyBorder="1" applyAlignment="1">
      <alignment horizontal="center" vertical="center"/>
    </xf>
    <xf numFmtId="0" fontId="12" fillId="3" borderId="136" xfId="1" applyFont="1" applyFill="1" applyBorder="1" applyAlignment="1">
      <alignment horizontal="center" vertical="center"/>
    </xf>
    <xf numFmtId="0" fontId="12" fillId="3" borderId="55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 wrapText="1"/>
    </xf>
    <xf numFmtId="0" fontId="9" fillId="3" borderId="137" xfId="1" applyFont="1" applyFill="1" applyBorder="1" applyAlignment="1">
      <alignment horizontal="center" vertical="center" wrapText="1"/>
    </xf>
    <xf numFmtId="0" fontId="9" fillId="3" borderId="138" xfId="1" applyFont="1" applyFill="1" applyBorder="1" applyAlignment="1">
      <alignment horizontal="center" vertical="center" wrapText="1"/>
    </xf>
    <xf numFmtId="49" fontId="12" fillId="0" borderId="19" xfId="1" applyNumberFormat="1" applyFont="1" applyBorder="1" applyAlignment="1">
      <alignment horizontal="center" vertical="center" wrapText="1"/>
    </xf>
    <xf numFmtId="49" fontId="12" fillId="0" borderId="17" xfId="1" applyNumberFormat="1" applyFont="1" applyBorder="1" applyAlignment="1">
      <alignment horizontal="center" vertical="center" wrapText="1"/>
    </xf>
    <xf numFmtId="49" fontId="12" fillId="0" borderId="14" xfId="1" applyNumberFormat="1" applyFont="1" applyBorder="1" applyAlignment="1">
      <alignment horizontal="center" vertical="center" wrapText="1"/>
    </xf>
    <xf numFmtId="0" fontId="9" fillId="4" borderId="29" xfId="1" applyFont="1" applyFill="1" applyBorder="1" applyAlignment="1">
      <alignment horizontal="center" vertical="center"/>
    </xf>
    <xf numFmtId="0" fontId="9" fillId="4" borderId="133" xfId="1" applyFont="1" applyFill="1" applyBorder="1" applyAlignment="1">
      <alignment horizontal="center" vertical="center"/>
    </xf>
    <xf numFmtId="0" fontId="9" fillId="4" borderId="44" xfId="1" applyFont="1" applyFill="1" applyBorder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 wrapText="1"/>
    </xf>
    <xf numFmtId="49" fontId="7" fillId="0" borderId="17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8" fillId="6" borderId="117" xfId="1" applyFont="1" applyFill="1" applyBorder="1" applyAlignment="1">
      <alignment horizontal="center" vertical="center"/>
    </xf>
    <xf numFmtId="0" fontId="8" fillId="6" borderId="118" xfId="1" applyFont="1" applyFill="1" applyBorder="1" applyAlignment="1">
      <alignment horizontal="center" vertical="center"/>
    </xf>
    <xf numFmtId="49" fontId="12" fillId="3" borderId="29" xfId="1" applyNumberFormat="1" applyFont="1" applyFill="1" applyBorder="1" applyAlignment="1">
      <alignment horizontal="center" vertical="center"/>
    </xf>
    <xf numFmtId="49" fontId="12" fillId="3" borderId="164" xfId="1" applyNumberFormat="1" applyFont="1" applyFill="1" applyBorder="1" applyAlignment="1">
      <alignment horizontal="center" vertical="center"/>
    </xf>
    <xf numFmtId="49" fontId="12" fillId="3" borderId="133" xfId="1" applyNumberFormat="1" applyFont="1" applyFill="1" applyBorder="1" applyAlignment="1">
      <alignment horizontal="center" vertical="center"/>
    </xf>
    <xf numFmtId="49" fontId="12" fillId="3" borderId="134" xfId="1" applyNumberFormat="1" applyFont="1" applyFill="1" applyBorder="1" applyAlignment="1">
      <alignment horizontal="center" vertical="center"/>
    </xf>
    <xf numFmtId="0" fontId="24" fillId="0" borderId="0" xfId="1" applyFont="1" applyAlignment="1">
      <alignment horizontal="center" vertical="center" wrapText="1"/>
    </xf>
    <xf numFmtId="0" fontId="12" fillId="4" borderId="9" xfId="2" applyFont="1" applyFill="1" applyBorder="1" applyAlignment="1">
      <alignment horizontal="left"/>
    </xf>
    <xf numFmtId="0" fontId="12" fillId="4" borderId="13" xfId="2" applyFont="1" applyFill="1" applyBorder="1" applyAlignment="1">
      <alignment horizontal="left"/>
    </xf>
    <xf numFmtId="0" fontId="11" fillId="2" borderId="9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37" fillId="0" borderId="0" xfId="2" applyFont="1" applyAlignment="1">
      <alignment horizontal="right" vertical="center" wrapText="1"/>
    </xf>
    <xf numFmtId="0" fontId="16" fillId="0" borderId="27" xfId="2" applyFont="1" applyBorder="1" applyAlignment="1">
      <alignment horizontal="center" vertical="center" wrapText="1"/>
    </xf>
  </cellXfs>
  <cellStyles count="16">
    <cellStyle name="Normalny" xfId="0" builtinId="0"/>
    <cellStyle name="Normalny 2" xfId="1"/>
    <cellStyle name="Normalny 2 2" xfId="2"/>
    <cellStyle name="Normalny 2 2 2" xfId="13"/>
    <cellStyle name="Normalny 3" xfId="3"/>
    <cellStyle name="Normalny 3 2" xfId="4"/>
    <cellStyle name="Normalny 3 2 2" xfId="5"/>
    <cellStyle name="Normalny 4" xfId="6"/>
    <cellStyle name="Normalny 5" xfId="9"/>
    <cellStyle name="Normalny 5 2" xfId="12"/>
    <cellStyle name="Normalny 5 2 2" xfId="14"/>
    <cellStyle name="Normalny 6" xfId="10"/>
    <cellStyle name="Normalny 7" xfId="15"/>
    <cellStyle name="Normalny_Arkusz1" xfId="11"/>
    <cellStyle name="Procentowy 2" xfId="7"/>
    <cellStyle name="Walutowy 2" xfId="8"/>
  </cellStyles>
  <dxfs count="0"/>
  <tableStyles count="0" defaultTableStyle="TableStyleMedium9" defaultPivotStyle="PivotStyleLight16"/>
  <colors>
    <mruColors>
      <color rgb="FF99FF33"/>
      <color rgb="FF99CCFF"/>
      <color rgb="FFCCCC00"/>
      <color rgb="FFFFFF66"/>
      <color rgb="FFFFCC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O1035"/>
  <sheetViews>
    <sheetView tabSelected="1" view="pageBreakPreview" zoomScale="85" zoomScaleNormal="100" zoomScaleSheetLayoutView="85" workbookViewId="0">
      <pane ySplit="8" topLeftCell="A9" activePane="bottomLeft" state="frozen"/>
      <selection pane="bottomLeft" activeCell="N501" sqref="N501"/>
    </sheetView>
  </sheetViews>
  <sheetFormatPr defaultRowHeight="15"/>
  <cols>
    <col min="1" max="1" width="6.42578125" style="367" customWidth="1"/>
    <col min="2" max="2" width="8.85546875" style="367" customWidth="1"/>
    <col min="3" max="3" width="64" style="368" customWidth="1"/>
    <col min="4" max="4" width="10.7109375" style="368" customWidth="1"/>
    <col min="5" max="5" width="17.42578125" style="377" hidden="1" customWidth="1"/>
    <col min="6" max="6" width="17.5703125" style="377" hidden="1" customWidth="1"/>
    <col min="7" max="7" width="18.42578125" style="377" hidden="1" customWidth="1"/>
    <col min="8" max="8" width="14.85546875" style="369" hidden="1" customWidth="1"/>
    <col min="9" max="9" width="18.42578125" style="377" hidden="1" customWidth="1"/>
    <col min="10" max="10" width="18.42578125" style="377" customWidth="1"/>
    <col min="11" max="11" width="18.42578125" style="369" hidden="1" customWidth="1"/>
    <col min="12" max="12" width="17.5703125" style="369" hidden="1" customWidth="1"/>
    <col min="13" max="13" width="9.140625" style="370"/>
    <col min="14" max="14" width="12.85546875" style="370" bestFit="1" customWidth="1"/>
    <col min="15" max="16384" width="9.140625" style="370"/>
  </cols>
  <sheetData>
    <row r="1" spans="1:12" ht="70.5" customHeight="1">
      <c r="D1" s="2505" t="s">
        <v>1274</v>
      </c>
      <c r="E1" s="2505"/>
      <c r="F1" s="2505"/>
      <c r="G1" s="2505"/>
      <c r="H1" s="2505"/>
      <c r="I1" s="2505"/>
      <c r="J1" s="2505"/>
    </row>
    <row r="2" spans="1:12" ht="3.75" customHeight="1">
      <c r="D2" s="2505"/>
      <c r="E2" s="2505"/>
      <c r="F2" s="370"/>
      <c r="G2" s="370"/>
      <c r="H2" s="371"/>
      <c r="I2" s="370"/>
      <c r="J2" s="370"/>
      <c r="K2" s="371"/>
      <c r="L2" s="371"/>
    </row>
    <row r="3" spans="1:12" ht="15" customHeight="1">
      <c r="D3" s="2505"/>
      <c r="E3" s="2505"/>
      <c r="F3" s="370"/>
      <c r="G3" s="370"/>
      <c r="H3" s="371"/>
      <c r="I3" s="370"/>
      <c r="J3" s="370"/>
      <c r="K3" s="371"/>
      <c r="L3" s="371"/>
    </row>
    <row r="4" spans="1:12" ht="60" customHeight="1">
      <c r="A4" s="2506" t="s">
        <v>963</v>
      </c>
      <c r="B4" s="2506"/>
      <c r="C4" s="2506"/>
      <c r="D4" s="2506"/>
      <c r="E4" s="2506"/>
      <c r="F4" s="2506"/>
      <c r="G4" s="2506"/>
      <c r="H4" s="2506"/>
      <c r="I4" s="2506"/>
      <c r="J4" s="2506"/>
      <c r="K4" s="2506"/>
      <c r="L4" s="819"/>
    </row>
    <row r="5" spans="1:12" ht="11.25" customHeight="1">
      <c r="A5" s="372"/>
      <c r="B5" s="372"/>
      <c r="C5" s="372"/>
      <c r="D5" s="372"/>
      <c r="E5" s="372"/>
      <c r="F5" s="372"/>
      <c r="G5" s="372"/>
      <c r="H5" s="373"/>
      <c r="I5" s="372"/>
      <c r="J5" s="372"/>
      <c r="K5" s="373"/>
      <c r="L5" s="373"/>
    </row>
    <row r="6" spans="1:12" ht="12" customHeight="1" thickBot="1">
      <c r="A6" s="374"/>
      <c r="B6" s="375"/>
      <c r="C6" s="376"/>
      <c r="D6" s="376"/>
      <c r="K6" s="820" t="s">
        <v>21</v>
      </c>
    </row>
    <row r="7" spans="1:12" ht="36.75" customHeight="1" thickBot="1">
      <c r="A7" s="2507" t="s">
        <v>0</v>
      </c>
      <c r="B7" s="2508" t="s">
        <v>206</v>
      </c>
      <c r="C7" s="2509" t="s">
        <v>207</v>
      </c>
      <c r="D7" s="2510" t="s">
        <v>5</v>
      </c>
      <c r="E7" s="2511" t="s">
        <v>964</v>
      </c>
      <c r="F7" s="2511" t="s">
        <v>965</v>
      </c>
      <c r="G7" s="2511" t="s">
        <v>966</v>
      </c>
      <c r="H7" s="2517" t="s">
        <v>967</v>
      </c>
      <c r="I7" s="2511" t="s">
        <v>208</v>
      </c>
      <c r="J7" s="2511" t="s">
        <v>968</v>
      </c>
      <c r="K7" s="2511" t="s">
        <v>209</v>
      </c>
      <c r="L7" s="2517" t="s">
        <v>969</v>
      </c>
    </row>
    <row r="8" spans="1:12" ht="18.75" customHeight="1" thickBot="1">
      <c r="A8" s="2507"/>
      <c r="B8" s="2508"/>
      <c r="C8" s="2509"/>
      <c r="D8" s="2510"/>
      <c r="E8" s="2512"/>
      <c r="F8" s="2512"/>
      <c r="G8" s="2512"/>
      <c r="H8" s="2518"/>
      <c r="I8" s="2512"/>
      <c r="J8" s="2512"/>
      <c r="K8" s="2512"/>
      <c r="L8" s="2518"/>
    </row>
    <row r="9" spans="1:12" ht="15.75" thickBot="1">
      <c r="A9" s="378" t="s">
        <v>210</v>
      </c>
      <c r="B9" s="379" t="s">
        <v>211</v>
      </c>
      <c r="C9" s="380" t="s">
        <v>212</v>
      </c>
      <c r="D9" s="381" t="s">
        <v>213</v>
      </c>
      <c r="E9" s="382" t="s">
        <v>214</v>
      </c>
      <c r="F9" s="382" t="s">
        <v>214</v>
      </c>
      <c r="G9" s="382" t="s">
        <v>215</v>
      </c>
      <c r="H9" s="821" t="s">
        <v>955</v>
      </c>
      <c r="I9" s="382" t="s">
        <v>956</v>
      </c>
      <c r="J9" s="382" t="s">
        <v>214</v>
      </c>
      <c r="K9" s="821" t="s">
        <v>215</v>
      </c>
      <c r="L9" s="382" t="s">
        <v>970</v>
      </c>
    </row>
    <row r="10" spans="1:12" s="824" customFormat="1" ht="15.75" thickBot="1">
      <c r="A10" s="383" t="s">
        <v>109</v>
      </c>
      <c r="B10" s="384"/>
      <c r="C10" s="386" t="s">
        <v>216</v>
      </c>
      <c r="D10" s="386"/>
      <c r="E10" s="822">
        <f>SUM(E11,E17,E25,E30,E38,E34,)</f>
        <v>27997000</v>
      </c>
      <c r="F10" s="822">
        <f>SUM(F11,F17,F25,F30,F38,F34,)</f>
        <v>29386521</v>
      </c>
      <c r="G10" s="822">
        <f>SUM(G11,G17,G25,G30,G38,G34,)</f>
        <v>42759000</v>
      </c>
      <c r="H10" s="823">
        <f>G10/F10</f>
        <v>1.455054853209742</v>
      </c>
      <c r="I10" s="822">
        <f>I38</f>
        <v>150000</v>
      </c>
      <c r="J10" s="822">
        <f>G10+I10</f>
        <v>42909000</v>
      </c>
      <c r="K10" s="823">
        <f>J10/F10</f>
        <v>1.460159234228509</v>
      </c>
      <c r="L10" s="823"/>
    </row>
    <row r="11" spans="1:12" s="824" customFormat="1" ht="15.75" thickBot="1">
      <c r="A11" s="2519"/>
      <c r="B11" s="389" t="s">
        <v>217</v>
      </c>
      <c r="C11" s="825" t="s">
        <v>218</v>
      </c>
      <c r="D11" s="391"/>
      <c r="E11" s="826">
        <f>SUM(E12,E16)</f>
        <v>13002000</v>
      </c>
      <c r="F11" s="826">
        <f>SUM(F12,F16)</f>
        <v>13002000</v>
      </c>
      <c r="G11" s="826">
        <f>SUM(G12,G16)</f>
        <v>26669000</v>
      </c>
      <c r="H11" s="827">
        <f>G11/F11</f>
        <v>2.0511459775419167</v>
      </c>
      <c r="I11" s="826"/>
      <c r="J11" s="826">
        <f>G11+I11</f>
        <v>26669000</v>
      </c>
      <c r="K11" s="827">
        <f t="shared" ref="K11:K74" si="0">J11/F11</f>
        <v>2.0511459775419167</v>
      </c>
      <c r="L11" s="827"/>
    </row>
    <row r="12" spans="1:12" s="824" customFormat="1" ht="15" customHeight="1">
      <c r="A12" s="2519"/>
      <c r="B12" s="2520" t="s">
        <v>219</v>
      </c>
      <c r="C12" s="2520"/>
      <c r="D12" s="828"/>
      <c r="E12" s="829">
        <f>SUM(E13:E15)</f>
        <v>13002000</v>
      </c>
      <c r="F12" s="829">
        <f>SUM(F13:F15)</f>
        <v>13002000</v>
      </c>
      <c r="G12" s="829">
        <f>SUM(G13:G15)</f>
        <v>26669000</v>
      </c>
      <c r="H12" s="830">
        <f>G12/F12</f>
        <v>2.0511459775419167</v>
      </c>
      <c r="I12" s="829"/>
      <c r="J12" s="829">
        <f t="shared" ref="J12:J75" si="1">G12+I12</f>
        <v>26669000</v>
      </c>
      <c r="K12" s="830">
        <f t="shared" si="0"/>
        <v>2.0511459775419167</v>
      </c>
      <c r="L12" s="830"/>
    </row>
    <row r="13" spans="1:12" s="824" customFormat="1" ht="21" customHeight="1">
      <c r="A13" s="2519"/>
      <c r="B13" s="2521"/>
      <c r="C13" s="2522" t="s">
        <v>220</v>
      </c>
      <c r="D13" s="831" t="s">
        <v>259</v>
      </c>
      <c r="E13" s="832">
        <v>0</v>
      </c>
      <c r="F13" s="832">
        <v>0</v>
      </c>
      <c r="G13" s="832">
        <v>22500</v>
      </c>
      <c r="H13" s="833"/>
      <c r="I13" s="832"/>
      <c r="J13" s="832">
        <f t="shared" si="1"/>
        <v>22500</v>
      </c>
      <c r="K13" s="833"/>
      <c r="L13" s="833"/>
    </row>
    <row r="14" spans="1:12" s="824" customFormat="1" ht="21" customHeight="1">
      <c r="A14" s="2519"/>
      <c r="B14" s="2521"/>
      <c r="C14" s="2522"/>
      <c r="D14" s="834" t="s">
        <v>221</v>
      </c>
      <c r="E14" s="832">
        <v>13000000</v>
      </c>
      <c r="F14" s="832">
        <v>13000000</v>
      </c>
      <c r="G14" s="832">
        <f>26626400+8000+10000</f>
        <v>26644400</v>
      </c>
      <c r="H14" s="833">
        <f t="shared" ref="H14:H77" si="2">G14/F14</f>
        <v>2.0495692307692308</v>
      </c>
      <c r="I14" s="832"/>
      <c r="J14" s="832">
        <f t="shared" si="1"/>
        <v>26644400</v>
      </c>
      <c r="K14" s="833">
        <f>J14/F14</f>
        <v>2.0495692307692308</v>
      </c>
      <c r="L14" s="833"/>
    </row>
    <row r="15" spans="1:12" s="824" customFormat="1" ht="18.75" customHeight="1">
      <c r="A15" s="2519"/>
      <c r="B15" s="2521"/>
      <c r="C15" s="2522"/>
      <c r="D15" s="396" t="s">
        <v>222</v>
      </c>
      <c r="E15" s="832">
        <v>2000</v>
      </c>
      <c r="F15" s="832">
        <v>2000</v>
      </c>
      <c r="G15" s="832">
        <v>2100</v>
      </c>
      <c r="H15" s="833">
        <f t="shared" si="2"/>
        <v>1.05</v>
      </c>
      <c r="I15" s="832"/>
      <c r="J15" s="832">
        <f t="shared" si="1"/>
        <v>2100</v>
      </c>
      <c r="K15" s="833">
        <f t="shared" si="0"/>
        <v>1.05</v>
      </c>
      <c r="L15" s="833"/>
    </row>
    <row r="16" spans="1:12" s="824" customFormat="1" ht="14.25" customHeight="1" thickBot="1">
      <c r="A16" s="2519"/>
      <c r="B16" s="2523" t="s">
        <v>223</v>
      </c>
      <c r="C16" s="2523"/>
      <c r="D16" s="835"/>
      <c r="E16" s="836">
        <v>0</v>
      </c>
      <c r="F16" s="836">
        <v>0</v>
      </c>
      <c r="G16" s="836">
        <v>0</v>
      </c>
      <c r="H16" s="837"/>
      <c r="I16" s="836"/>
      <c r="J16" s="836">
        <f t="shared" si="1"/>
        <v>0</v>
      </c>
      <c r="K16" s="837"/>
      <c r="L16" s="837"/>
    </row>
    <row r="17" spans="1:12" s="842" customFormat="1" ht="5.25" hidden="1" customHeight="1" thickBot="1">
      <c r="A17" s="2519"/>
      <c r="B17" s="838" t="s">
        <v>224</v>
      </c>
      <c r="C17" s="839" t="s">
        <v>225</v>
      </c>
      <c r="D17" s="839"/>
      <c r="E17" s="840">
        <f>SUM(E18,E22)</f>
        <v>0</v>
      </c>
      <c r="F17" s="840">
        <f>SUM(F18,F22)</f>
        <v>0</v>
      </c>
      <c r="G17" s="840">
        <f>SUM(G18,G22)</f>
        <v>0</v>
      </c>
      <c r="H17" s="841"/>
      <c r="I17" s="840"/>
      <c r="J17" s="840">
        <f t="shared" si="1"/>
        <v>0</v>
      </c>
      <c r="K17" s="841" t="e">
        <f t="shared" si="0"/>
        <v>#DIV/0!</v>
      </c>
      <c r="L17" s="841"/>
    </row>
    <row r="18" spans="1:12" s="842" customFormat="1" ht="15.75" hidden="1" customHeight="1" thickBot="1">
      <c r="A18" s="2519"/>
      <c r="B18" s="2534" t="s">
        <v>219</v>
      </c>
      <c r="C18" s="2535"/>
      <c r="D18" s="843"/>
      <c r="E18" s="844"/>
      <c r="F18" s="844"/>
      <c r="G18" s="844"/>
      <c r="H18" s="845"/>
      <c r="I18" s="844"/>
      <c r="J18" s="844">
        <f t="shared" si="1"/>
        <v>0</v>
      </c>
      <c r="K18" s="845" t="e">
        <f t="shared" si="0"/>
        <v>#DIV/0!</v>
      </c>
      <c r="L18" s="845"/>
    </row>
    <row r="19" spans="1:12" s="842" customFormat="1" ht="15.75" hidden="1" customHeight="1" thickBot="1">
      <c r="A19" s="2519"/>
      <c r="B19" s="2536"/>
      <c r="C19" s="846"/>
      <c r="D19" s="847"/>
      <c r="E19" s="848"/>
      <c r="F19" s="848"/>
      <c r="G19" s="849"/>
      <c r="H19" s="850"/>
      <c r="I19" s="849"/>
      <c r="J19" s="849">
        <f t="shared" si="1"/>
        <v>0</v>
      </c>
      <c r="K19" s="851" t="e">
        <f t="shared" si="0"/>
        <v>#DIV/0!</v>
      </c>
      <c r="L19" s="850"/>
    </row>
    <row r="20" spans="1:12" s="842" customFormat="1" ht="15.75" hidden="1" customHeight="1" thickBot="1">
      <c r="A20" s="2519"/>
      <c r="B20" s="2537"/>
      <c r="C20" s="852"/>
      <c r="D20" s="853"/>
      <c r="E20" s="854"/>
      <c r="F20" s="854"/>
      <c r="G20" s="855"/>
      <c r="H20" s="850"/>
      <c r="I20" s="855"/>
      <c r="J20" s="855">
        <f t="shared" si="1"/>
        <v>0</v>
      </c>
      <c r="K20" s="856" t="e">
        <f t="shared" si="0"/>
        <v>#DIV/0!</v>
      </c>
      <c r="L20" s="857"/>
    </row>
    <row r="21" spans="1:12" s="842" customFormat="1" ht="15.75" hidden="1" customHeight="1" thickBot="1">
      <c r="A21" s="2519"/>
      <c r="B21" s="2538"/>
      <c r="C21" s="858"/>
      <c r="D21" s="859"/>
      <c r="E21" s="854"/>
      <c r="F21" s="854"/>
      <c r="G21" s="855"/>
      <c r="H21" s="857"/>
      <c r="I21" s="855"/>
      <c r="J21" s="855">
        <f t="shared" si="1"/>
        <v>0</v>
      </c>
      <c r="K21" s="856" t="e">
        <f t="shared" si="0"/>
        <v>#DIV/0!</v>
      </c>
      <c r="L21" s="857"/>
    </row>
    <row r="22" spans="1:12" s="842" customFormat="1" ht="15.75" hidden="1" customHeight="1" thickBot="1">
      <c r="A22" s="2519"/>
      <c r="B22" s="2539" t="s">
        <v>229</v>
      </c>
      <c r="C22" s="2540"/>
      <c r="D22" s="860"/>
      <c r="E22" s="861"/>
      <c r="F22" s="861"/>
      <c r="G22" s="861"/>
      <c r="H22" s="862"/>
      <c r="I22" s="861"/>
      <c r="J22" s="861">
        <f t="shared" si="1"/>
        <v>0</v>
      </c>
      <c r="K22" s="863" t="e">
        <f t="shared" si="0"/>
        <v>#DIV/0!</v>
      </c>
      <c r="L22" s="863"/>
    </row>
    <row r="23" spans="1:12" s="842" customFormat="1" ht="15.75" hidden="1" customHeight="1" thickBot="1">
      <c r="A23" s="2519"/>
      <c r="B23" s="2537"/>
      <c r="C23" s="864"/>
      <c r="D23" s="2513"/>
      <c r="E23" s="854"/>
      <c r="F23" s="854"/>
      <c r="G23" s="855"/>
      <c r="H23" s="857"/>
      <c r="I23" s="855"/>
      <c r="J23" s="855">
        <f t="shared" si="1"/>
        <v>0</v>
      </c>
      <c r="K23" s="856" t="e">
        <f t="shared" si="0"/>
        <v>#DIV/0!</v>
      </c>
      <c r="L23" s="857"/>
    </row>
    <row r="24" spans="1:12" s="842" customFormat="1" ht="15.75" hidden="1" customHeight="1" thickBot="1">
      <c r="A24" s="2519"/>
      <c r="B24" s="2537"/>
      <c r="C24" s="865"/>
      <c r="D24" s="2514"/>
      <c r="E24" s="866"/>
      <c r="F24" s="866"/>
      <c r="G24" s="866"/>
      <c r="H24" s="867"/>
      <c r="I24" s="866"/>
      <c r="J24" s="866">
        <f t="shared" si="1"/>
        <v>0</v>
      </c>
      <c r="K24" s="867" t="e">
        <f t="shared" si="0"/>
        <v>#DIV/0!</v>
      </c>
      <c r="L24" s="867"/>
    </row>
    <row r="25" spans="1:12" s="824" customFormat="1" ht="15.75" thickBot="1">
      <c r="A25" s="2519"/>
      <c r="B25" s="389" t="s">
        <v>230</v>
      </c>
      <c r="C25" s="868" t="s">
        <v>231</v>
      </c>
      <c r="D25" s="400"/>
      <c r="E25" s="826">
        <f>SUM(E26,E29)</f>
        <v>5345000</v>
      </c>
      <c r="F25" s="826">
        <f>SUM(F26,F29)</f>
        <v>5345000</v>
      </c>
      <c r="G25" s="826">
        <f>SUM(G26,G29)</f>
        <v>6440000</v>
      </c>
      <c r="H25" s="827">
        <f t="shared" si="2"/>
        <v>1.204864359214219</v>
      </c>
      <c r="I25" s="826"/>
      <c r="J25" s="826">
        <f t="shared" si="1"/>
        <v>6440000</v>
      </c>
      <c r="K25" s="827">
        <f t="shared" si="0"/>
        <v>1.204864359214219</v>
      </c>
      <c r="L25" s="827"/>
    </row>
    <row r="26" spans="1:12" s="824" customFormat="1">
      <c r="A26" s="2519"/>
      <c r="B26" s="2515" t="s">
        <v>219</v>
      </c>
      <c r="C26" s="2516"/>
      <c r="D26" s="409"/>
      <c r="E26" s="829">
        <f>SUM(E27:E28)</f>
        <v>5345000</v>
      </c>
      <c r="F26" s="829">
        <f>SUM(F27:F28)</f>
        <v>5345000</v>
      </c>
      <c r="G26" s="829">
        <f>SUM(G27:G28)</f>
        <v>6440000</v>
      </c>
      <c r="H26" s="830">
        <f t="shared" si="2"/>
        <v>1.204864359214219</v>
      </c>
      <c r="I26" s="829"/>
      <c r="J26" s="829">
        <f t="shared" si="1"/>
        <v>6440000</v>
      </c>
      <c r="K26" s="830">
        <f t="shared" si="0"/>
        <v>1.204864359214219</v>
      </c>
      <c r="L26" s="830"/>
    </row>
    <row r="27" spans="1:12" s="824" customFormat="1" ht="42.75" customHeight="1">
      <c r="A27" s="2519"/>
      <c r="B27" s="2524"/>
      <c r="C27" s="869" t="s">
        <v>232</v>
      </c>
      <c r="D27" s="870">
        <v>2058</v>
      </c>
      <c r="E27" s="832">
        <v>3401000</v>
      </c>
      <c r="F27" s="832">
        <v>3401000</v>
      </c>
      <c r="G27" s="832">
        <v>4097000</v>
      </c>
      <c r="H27" s="833">
        <f t="shared" si="2"/>
        <v>1.204645692443399</v>
      </c>
      <c r="I27" s="832"/>
      <c r="J27" s="832">
        <f t="shared" si="1"/>
        <v>4097000</v>
      </c>
      <c r="K27" s="833">
        <f t="shared" si="0"/>
        <v>1.204645692443399</v>
      </c>
      <c r="L27" s="871" t="s">
        <v>971</v>
      </c>
    </row>
    <row r="28" spans="1:12" s="824" customFormat="1" ht="41.25" customHeight="1">
      <c r="A28" s="2519"/>
      <c r="B28" s="2525"/>
      <c r="C28" s="872" t="s">
        <v>233</v>
      </c>
      <c r="D28" s="873">
        <v>2059</v>
      </c>
      <c r="E28" s="832">
        <v>1944000</v>
      </c>
      <c r="F28" s="832">
        <v>1944000</v>
      </c>
      <c r="G28" s="832">
        <v>2343000</v>
      </c>
      <c r="H28" s="833">
        <f t="shared" si="2"/>
        <v>1.2052469135802468</v>
      </c>
      <c r="I28" s="832"/>
      <c r="J28" s="832">
        <f t="shared" si="1"/>
        <v>2343000</v>
      </c>
      <c r="K28" s="833">
        <f t="shared" si="0"/>
        <v>1.2052469135802468</v>
      </c>
      <c r="L28" s="871" t="s">
        <v>971</v>
      </c>
    </row>
    <row r="29" spans="1:12" s="824" customFormat="1">
      <c r="A29" s="2519"/>
      <c r="B29" s="2526" t="s">
        <v>223</v>
      </c>
      <c r="C29" s="2527"/>
      <c r="D29" s="874"/>
      <c r="E29" s="875">
        <v>0</v>
      </c>
      <c r="F29" s="875">
        <v>0</v>
      </c>
      <c r="G29" s="875">
        <v>0</v>
      </c>
      <c r="H29" s="876"/>
      <c r="I29" s="875"/>
      <c r="J29" s="875">
        <f t="shared" si="1"/>
        <v>0</v>
      </c>
      <c r="K29" s="876"/>
      <c r="L29" s="876"/>
    </row>
    <row r="30" spans="1:12" s="824" customFormat="1" ht="15.75" thickBot="1">
      <c r="A30" s="2519"/>
      <c r="B30" s="410" t="s">
        <v>110</v>
      </c>
      <c r="C30" s="412" t="s">
        <v>234</v>
      </c>
      <c r="D30" s="412"/>
      <c r="E30" s="877">
        <f>SUM(E33,E31)</f>
        <v>9500000</v>
      </c>
      <c r="F30" s="877">
        <f>SUM(F33,F31)</f>
        <v>9500000</v>
      </c>
      <c r="G30" s="877">
        <f>SUM(G33,G31)</f>
        <v>9500000</v>
      </c>
      <c r="H30" s="878">
        <f>G30/F30</f>
        <v>1</v>
      </c>
      <c r="I30" s="877"/>
      <c r="J30" s="877">
        <f t="shared" si="1"/>
        <v>9500000</v>
      </c>
      <c r="K30" s="878">
        <f t="shared" si="0"/>
        <v>1</v>
      </c>
      <c r="L30" s="878"/>
    </row>
    <row r="31" spans="1:12" s="824" customFormat="1">
      <c r="A31" s="2519"/>
      <c r="B31" s="2528" t="s">
        <v>219</v>
      </c>
      <c r="C31" s="2528"/>
      <c r="D31" s="879"/>
      <c r="E31" s="829">
        <f>SUM(E32:E32)</f>
        <v>9500000</v>
      </c>
      <c r="F31" s="829">
        <f>SUM(F32:F32)</f>
        <v>9500000</v>
      </c>
      <c r="G31" s="829">
        <f>SUM(G32:G32)</f>
        <v>9500000</v>
      </c>
      <c r="H31" s="830">
        <f>G31/F31</f>
        <v>1</v>
      </c>
      <c r="I31" s="829"/>
      <c r="J31" s="829">
        <f t="shared" si="1"/>
        <v>9500000</v>
      </c>
      <c r="K31" s="830">
        <f t="shared" si="0"/>
        <v>1</v>
      </c>
      <c r="L31" s="830"/>
    </row>
    <row r="32" spans="1:12" s="824" customFormat="1" ht="18" customHeight="1">
      <c r="A32" s="2519"/>
      <c r="B32" s="880"/>
      <c r="C32" s="881" t="s">
        <v>235</v>
      </c>
      <c r="D32" s="882" t="s">
        <v>236</v>
      </c>
      <c r="E32" s="832">
        <v>9500000</v>
      </c>
      <c r="F32" s="832">
        <v>9500000</v>
      </c>
      <c r="G32" s="832">
        <v>9500000</v>
      </c>
      <c r="H32" s="833">
        <f>G32/F32</f>
        <v>1</v>
      </c>
      <c r="I32" s="832"/>
      <c r="J32" s="832">
        <f t="shared" si="1"/>
        <v>9500000</v>
      </c>
      <c r="K32" s="833">
        <f t="shared" si="0"/>
        <v>1</v>
      </c>
      <c r="L32" s="833"/>
    </row>
    <row r="33" spans="1:12" s="824" customFormat="1" ht="15" customHeight="1" thickBot="1">
      <c r="A33" s="2519"/>
      <c r="B33" s="2529" t="s">
        <v>223</v>
      </c>
      <c r="C33" s="2530"/>
      <c r="D33" s="883"/>
      <c r="E33" s="836">
        <v>0</v>
      </c>
      <c r="F33" s="836">
        <v>0</v>
      </c>
      <c r="G33" s="836">
        <v>0</v>
      </c>
      <c r="H33" s="837"/>
      <c r="I33" s="836"/>
      <c r="J33" s="836">
        <f t="shared" si="1"/>
        <v>0</v>
      </c>
      <c r="K33" s="837"/>
      <c r="L33" s="837"/>
    </row>
    <row r="34" spans="1:12" s="842" customFormat="1" ht="0.75" hidden="1" customHeight="1" thickBot="1">
      <c r="A34" s="884"/>
      <c r="B34" s="885" t="s">
        <v>237</v>
      </c>
      <c r="C34" s="886" t="s">
        <v>238</v>
      </c>
      <c r="D34" s="886"/>
      <c r="E34" s="887"/>
      <c r="F34" s="887"/>
      <c r="G34" s="887"/>
      <c r="H34" s="888"/>
      <c r="I34" s="887"/>
      <c r="J34" s="887">
        <f t="shared" si="1"/>
        <v>0</v>
      </c>
      <c r="K34" s="888" t="e">
        <f t="shared" si="0"/>
        <v>#DIV/0!</v>
      </c>
      <c r="L34" s="888"/>
    </row>
    <row r="35" spans="1:12" s="842" customFormat="1" ht="15.75" hidden="1" customHeight="1" thickBot="1">
      <c r="A35" s="884"/>
      <c r="B35" s="2531" t="s">
        <v>219</v>
      </c>
      <c r="C35" s="2531"/>
      <c r="D35" s="889"/>
      <c r="E35" s="890"/>
      <c r="F35" s="890"/>
      <c r="G35" s="890"/>
      <c r="H35" s="891"/>
      <c r="I35" s="890"/>
      <c r="J35" s="890">
        <f t="shared" si="1"/>
        <v>0</v>
      </c>
      <c r="K35" s="891" t="e">
        <f t="shared" si="0"/>
        <v>#DIV/0!</v>
      </c>
      <c r="L35" s="891"/>
    </row>
    <row r="36" spans="1:12" s="842" customFormat="1" ht="15.75" hidden="1" customHeight="1" thickBot="1">
      <c r="A36" s="884"/>
      <c r="B36" s="892"/>
      <c r="C36" s="893"/>
      <c r="D36" s="894"/>
      <c r="E36" s="855"/>
      <c r="F36" s="855"/>
      <c r="G36" s="855"/>
      <c r="H36" s="856"/>
      <c r="I36" s="855"/>
      <c r="J36" s="855">
        <f t="shared" si="1"/>
        <v>0</v>
      </c>
      <c r="K36" s="856" t="e">
        <f t="shared" si="0"/>
        <v>#DIV/0!</v>
      </c>
      <c r="L36" s="856"/>
    </row>
    <row r="37" spans="1:12" s="842" customFormat="1" ht="15.75" hidden="1" customHeight="1" thickBot="1">
      <c r="A37" s="884"/>
      <c r="B37" s="2532" t="s">
        <v>223</v>
      </c>
      <c r="C37" s="2533"/>
      <c r="D37" s="895"/>
      <c r="E37" s="896"/>
      <c r="F37" s="896"/>
      <c r="G37" s="896"/>
      <c r="H37" s="897"/>
      <c r="I37" s="896"/>
      <c r="J37" s="896">
        <f t="shared" si="1"/>
        <v>0</v>
      </c>
      <c r="K37" s="897" t="e">
        <f t="shared" si="0"/>
        <v>#DIV/0!</v>
      </c>
      <c r="L37" s="897"/>
    </row>
    <row r="38" spans="1:12" s="842" customFormat="1" ht="15.75" thickBot="1">
      <c r="A38" s="884"/>
      <c r="B38" s="415" t="s">
        <v>111</v>
      </c>
      <c r="C38" s="868" t="s">
        <v>239</v>
      </c>
      <c r="D38" s="400"/>
      <c r="E38" s="898">
        <f>E39+E42</f>
        <v>150000</v>
      </c>
      <c r="F38" s="898">
        <f>F39+F42</f>
        <v>1539521</v>
      </c>
      <c r="G38" s="898">
        <f>G39+G42</f>
        <v>150000</v>
      </c>
      <c r="H38" s="899">
        <f t="shared" si="2"/>
        <v>9.7432902831465107E-2</v>
      </c>
      <c r="I38" s="898">
        <f>I39</f>
        <v>150000</v>
      </c>
      <c r="J38" s="898">
        <f t="shared" si="1"/>
        <v>300000</v>
      </c>
      <c r="K38" s="899">
        <f t="shared" si="0"/>
        <v>0.19486580566293021</v>
      </c>
      <c r="L38" s="899"/>
    </row>
    <row r="39" spans="1:12" s="842" customFormat="1">
      <c r="A39" s="884"/>
      <c r="B39" s="2526" t="s">
        <v>219</v>
      </c>
      <c r="C39" s="2543"/>
      <c r="D39" s="874"/>
      <c r="E39" s="875">
        <f>SUM(E40:E41)</f>
        <v>150000</v>
      </c>
      <c r="F39" s="875">
        <f>SUM(F40:F41)</f>
        <v>1539521</v>
      </c>
      <c r="G39" s="875">
        <f>SUM(G40:G41)</f>
        <v>150000</v>
      </c>
      <c r="H39" s="876">
        <f t="shared" si="2"/>
        <v>9.7432902831465107E-2</v>
      </c>
      <c r="I39" s="875">
        <f>I40</f>
        <v>150000</v>
      </c>
      <c r="J39" s="875">
        <f>G39+I39</f>
        <v>300000</v>
      </c>
      <c r="K39" s="876">
        <f t="shared" si="0"/>
        <v>0.19486580566293021</v>
      </c>
      <c r="L39" s="876"/>
    </row>
    <row r="40" spans="1:12" s="842" customFormat="1" ht="40.5" customHeight="1">
      <c r="A40" s="884"/>
      <c r="B40" s="2524"/>
      <c r="C40" s="900" t="s">
        <v>227</v>
      </c>
      <c r="D40" s="735">
        <v>2210</v>
      </c>
      <c r="E40" s="901">
        <v>150000</v>
      </c>
      <c r="F40" s="901">
        <v>1379721</v>
      </c>
      <c r="G40" s="901">
        <v>150000</v>
      </c>
      <c r="H40" s="902">
        <f t="shared" si="2"/>
        <v>0.108717632043</v>
      </c>
      <c r="I40" s="901">
        <v>150000</v>
      </c>
      <c r="J40" s="901">
        <f t="shared" si="1"/>
        <v>300000</v>
      </c>
      <c r="K40" s="902">
        <f t="shared" si="0"/>
        <v>0.217435264086</v>
      </c>
      <c r="L40" s="903" t="s">
        <v>971</v>
      </c>
    </row>
    <row r="41" spans="1:12" s="842" customFormat="1" ht="33.75" hidden="1" customHeight="1">
      <c r="A41" s="884"/>
      <c r="B41" s="2525"/>
      <c r="C41" s="881" t="s">
        <v>240</v>
      </c>
      <c r="D41" s="904">
        <v>2460</v>
      </c>
      <c r="E41" s="905">
        <v>0</v>
      </c>
      <c r="F41" s="905">
        <v>159800</v>
      </c>
      <c r="G41" s="905">
        <v>0</v>
      </c>
      <c r="H41" s="906">
        <f t="shared" si="2"/>
        <v>0</v>
      </c>
      <c r="I41" s="905"/>
      <c r="J41" s="905">
        <f t="shared" si="1"/>
        <v>0</v>
      </c>
      <c r="K41" s="906">
        <f t="shared" si="0"/>
        <v>0</v>
      </c>
      <c r="L41" s="906"/>
    </row>
    <row r="42" spans="1:12" s="842" customFormat="1" ht="15.75" thickBot="1">
      <c r="A42" s="907"/>
      <c r="B42" s="2544" t="s">
        <v>223</v>
      </c>
      <c r="C42" s="2545"/>
      <c r="D42" s="908"/>
      <c r="E42" s="836">
        <v>0</v>
      </c>
      <c r="F42" s="836">
        <v>0</v>
      </c>
      <c r="G42" s="836">
        <v>0</v>
      </c>
      <c r="H42" s="837"/>
      <c r="I42" s="836"/>
      <c r="J42" s="836">
        <f t="shared" si="1"/>
        <v>0</v>
      </c>
      <c r="K42" s="837"/>
      <c r="L42" s="837"/>
    </row>
    <row r="43" spans="1:12" s="824" customFormat="1" ht="15.75" customHeight="1" thickBot="1">
      <c r="A43" s="418" t="s">
        <v>241</v>
      </c>
      <c r="B43" s="419"/>
      <c r="C43" s="909" t="s">
        <v>242</v>
      </c>
      <c r="D43" s="420"/>
      <c r="E43" s="910">
        <f t="shared" ref="E43:G43" si="3">SUM(E44)</f>
        <v>520000</v>
      </c>
      <c r="F43" s="910">
        <f t="shared" si="3"/>
        <v>520000</v>
      </c>
      <c r="G43" s="910">
        <f t="shared" si="3"/>
        <v>520000</v>
      </c>
      <c r="H43" s="911">
        <f t="shared" si="2"/>
        <v>1</v>
      </c>
      <c r="I43" s="910"/>
      <c r="J43" s="910">
        <f t="shared" si="1"/>
        <v>520000</v>
      </c>
      <c r="K43" s="911">
        <f t="shared" si="0"/>
        <v>1</v>
      </c>
      <c r="L43" s="911"/>
    </row>
    <row r="44" spans="1:12" s="824" customFormat="1" ht="44.25" customHeight="1" thickBot="1">
      <c r="A44" s="2541"/>
      <c r="B44" s="422" t="s">
        <v>243</v>
      </c>
      <c r="C44" s="825" t="s">
        <v>244</v>
      </c>
      <c r="D44" s="391"/>
      <c r="E44" s="826">
        <f t="shared" ref="E44:G44" si="4">SUM(E45,E48)</f>
        <v>520000</v>
      </c>
      <c r="F44" s="826">
        <f t="shared" si="4"/>
        <v>520000</v>
      </c>
      <c r="G44" s="826">
        <f t="shared" si="4"/>
        <v>520000</v>
      </c>
      <c r="H44" s="827">
        <f t="shared" si="2"/>
        <v>1</v>
      </c>
      <c r="I44" s="826"/>
      <c r="J44" s="826">
        <f t="shared" si="1"/>
        <v>520000</v>
      </c>
      <c r="K44" s="827">
        <f t="shared" si="0"/>
        <v>1</v>
      </c>
      <c r="L44" s="827"/>
    </row>
    <row r="45" spans="1:12" s="824" customFormat="1">
      <c r="A45" s="2542"/>
      <c r="B45" s="2553" t="s">
        <v>219</v>
      </c>
      <c r="C45" s="2554"/>
      <c r="D45" s="912"/>
      <c r="E45" s="829">
        <f t="shared" ref="E45" si="5">SUM(E46:E47)</f>
        <v>520000</v>
      </c>
      <c r="F45" s="829">
        <f t="shared" ref="F45:G45" si="6">SUM(F46:F47)</f>
        <v>520000</v>
      </c>
      <c r="G45" s="829">
        <f t="shared" si="6"/>
        <v>520000</v>
      </c>
      <c r="H45" s="830">
        <f t="shared" si="2"/>
        <v>1</v>
      </c>
      <c r="I45" s="829"/>
      <c r="J45" s="829">
        <f t="shared" si="1"/>
        <v>520000</v>
      </c>
      <c r="K45" s="830">
        <f t="shared" si="0"/>
        <v>1</v>
      </c>
      <c r="L45" s="830"/>
    </row>
    <row r="46" spans="1:12" s="824" customFormat="1" ht="39.75" customHeight="1">
      <c r="A46" s="2542"/>
      <c r="B46" s="2555"/>
      <c r="C46" s="881" t="s">
        <v>245</v>
      </c>
      <c r="D46" s="904">
        <v>2058</v>
      </c>
      <c r="E46" s="832">
        <v>390000</v>
      </c>
      <c r="F46" s="832">
        <v>390000</v>
      </c>
      <c r="G46" s="832">
        <v>390000</v>
      </c>
      <c r="H46" s="833">
        <f t="shared" si="2"/>
        <v>1</v>
      </c>
      <c r="I46" s="832"/>
      <c r="J46" s="832">
        <f t="shared" si="1"/>
        <v>390000</v>
      </c>
      <c r="K46" s="833">
        <f t="shared" si="0"/>
        <v>1</v>
      </c>
      <c r="L46" s="871" t="s">
        <v>971</v>
      </c>
    </row>
    <row r="47" spans="1:12" s="824" customFormat="1" ht="39" customHeight="1">
      <c r="A47" s="2542"/>
      <c r="B47" s="2556"/>
      <c r="C47" s="913" t="s">
        <v>246</v>
      </c>
      <c r="D47" s="904">
        <v>2059</v>
      </c>
      <c r="E47" s="901">
        <v>130000</v>
      </c>
      <c r="F47" s="901">
        <v>130000</v>
      </c>
      <c r="G47" s="901">
        <v>130000</v>
      </c>
      <c r="H47" s="902">
        <f t="shared" si="2"/>
        <v>1</v>
      </c>
      <c r="I47" s="901"/>
      <c r="J47" s="901">
        <f t="shared" si="1"/>
        <v>130000</v>
      </c>
      <c r="K47" s="902">
        <f t="shared" si="0"/>
        <v>1</v>
      </c>
      <c r="L47" s="903" t="s">
        <v>971</v>
      </c>
    </row>
    <row r="48" spans="1:12" s="824" customFormat="1" ht="15.75" thickBot="1">
      <c r="A48" s="2542"/>
      <c r="B48" s="2557" t="s">
        <v>223</v>
      </c>
      <c r="C48" s="2558"/>
      <c r="D48" s="409"/>
      <c r="E48" s="914">
        <v>0</v>
      </c>
      <c r="F48" s="914">
        <v>0</v>
      </c>
      <c r="G48" s="914">
        <v>0</v>
      </c>
      <c r="H48" s="915"/>
      <c r="I48" s="914"/>
      <c r="J48" s="914">
        <f t="shared" si="1"/>
        <v>0</v>
      </c>
      <c r="K48" s="915"/>
      <c r="L48" s="915"/>
    </row>
    <row r="49" spans="1:12" s="824" customFormat="1" ht="15.75" customHeight="1" thickBot="1">
      <c r="A49" s="418" t="s">
        <v>247</v>
      </c>
      <c r="B49" s="423"/>
      <c r="C49" s="425" t="s">
        <v>248</v>
      </c>
      <c r="D49" s="425"/>
      <c r="E49" s="916">
        <f t="shared" ref="E49:G49" si="7">SUM(E50)</f>
        <v>1368</v>
      </c>
      <c r="F49" s="916">
        <f t="shared" si="7"/>
        <v>1368</v>
      </c>
      <c r="G49" s="916">
        <f t="shared" si="7"/>
        <v>1526</v>
      </c>
      <c r="H49" s="917">
        <f t="shared" si="2"/>
        <v>1.1154970760233918</v>
      </c>
      <c r="I49" s="916">
        <f>I50</f>
        <v>1</v>
      </c>
      <c r="J49" s="916">
        <f t="shared" si="1"/>
        <v>1527</v>
      </c>
      <c r="K49" s="917">
        <f t="shared" si="0"/>
        <v>1.1162280701754386</v>
      </c>
      <c r="L49" s="917"/>
    </row>
    <row r="50" spans="1:12" s="824" customFormat="1" ht="15" customHeight="1">
      <c r="A50" s="2541"/>
      <c r="B50" s="918" t="s">
        <v>249</v>
      </c>
      <c r="C50" s="919" t="s">
        <v>239</v>
      </c>
      <c r="D50" s="428"/>
      <c r="E50" s="826">
        <f>SUM(E53,E51)</f>
        <v>1368</v>
      </c>
      <c r="F50" s="826">
        <f t="shared" ref="F50:G50" si="8">SUM(F53,F51)</f>
        <v>1368</v>
      </c>
      <c r="G50" s="826">
        <f t="shared" si="8"/>
        <v>1526</v>
      </c>
      <c r="H50" s="827">
        <f t="shared" si="2"/>
        <v>1.1154970760233918</v>
      </c>
      <c r="I50" s="826">
        <f>I51</f>
        <v>1</v>
      </c>
      <c r="J50" s="826">
        <f t="shared" si="1"/>
        <v>1527</v>
      </c>
      <c r="K50" s="827">
        <f t="shared" si="0"/>
        <v>1.1162280701754386</v>
      </c>
      <c r="L50" s="827"/>
    </row>
    <row r="51" spans="1:12" s="824" customFormat="1">
      <c r="A51" s="2542"/>
      <c r="B51" s="2526" t="s">
        <v>219</v>
      </c>
      <c r="C51" s="2543"/>
      <c r="D51" s="874"/>
      <c r="E51" s="875">
        <f>SUM(E52)</f>
        <v>1368</v>
      </c>
      <c r="F51" s="875">
        <f t="shared" ref="F51" si="9">SUM(F52)</f>
        <v>1368</v>
      </c>
      <c r="G51" s="875">
        <f>SUM(G52)</f>
        <v>1526</v>
      </c>
      <c r="H51" s="876">
        <f t="shared" si="2"/>
        <v>1.1154970760233918</v>
      </c>
      <c r="I51" s="875">
        <f>I52</f>
        <v>1</v>
      </c>
      <c r="J51" s="875">
        <f t="shared" si="1"/>
        <v>1527</v>
      </c>
      <c r="K51" s="876">
        <f t="shared" si="0"/>
        <v>1.1162280701754386</v>
      </c>
      <c r="L51" s="876"/>
    </row>
    <row r="52" spans="1:12" s="824" customFormat="1" ht="40.5" customHeight="1">
      <c r="A52" s="2542"/>
      <c r="B52" s="920"/>
      <c r="C52" s="921" t="s">
        <v>228</v>
      </c>
      <c r="D52" s="922">
        <v>2360</v>
      </c>
      <c r="E52" s="832">
        <v>1368</v>
      </c>
      <c r="F52" s="832">
        <v>1368</v>
      </c>
      <c r="G52" s="832">
        <v>1526</v>
      </c>
      <c r="H52" s="833">
        <f t="shared" si="2"/>
        <v>1.1154970760233918</v>
      </c>
      <c r="I52" s="832">
        <v>1</v>
      </c>
      <c r="J52" s="832">
        <f t="shared" si="1"/>
        <v>1527</v>
      </c>
      <c r="K52" s="833">
        <f t="shared" si="0"/>
        <v>1.1162280701754386</v>
      </c>
      <c r="L52" s="833"/>
    </row>
    <row r="53" spans="1:12" s="824" customFormat="1" ht="15.75" thickBot="1">
      <c r="A53" s="2542"/>
      <c r="B53" s="2544" t="s">
        <v>250</v>
      </c>
      <c r="C53" s="2545"/>
      <c r="D53" s="908"/>
      <c r="E53" s="923">
        <v>0</v>
      </c>
      <c r="F53" s="923">
        <v>0</v>
      </c>
      <c r="G53" s="923">
        <v>0</v>
      </c>
      <c r="H53" s="924"/>
      <c r="I53" s="923"/>
      <c r="J53" s="923">
        <f t="shared" si="1"/>
        <v>0</v>
      </c>
      <c r="K53" s="924"/>
      <c r="L53" s="924"/>
    </row>
    <row r="54" spans="1:12" s="842" customFormat="1" ht="15.75" hidden="1" customHeight="1" thickBot="1">
      <c r="A54" s="925" t="s">
        <v>251</v>
      </c>
      <c r="B54" s="926"/>
      <c r="C54" s="424" t="s">
        <v>252</v>
      </c>
      <c r="D54" s="424"/>
      <c r="E54" s="426">
        <f>E55</f>
        <v>0</v>
      </c>
      <c r="F54" s="426">
        <f t="shared" ref="F54:G54" si="10">F55</f>
        <v>443351</v>
      </c>
      <c r="G54" s="426">
        <f t="shared" si="10"/>
        <v>0</v>
      </c>
      <c r="H54" s="427">
        <f t="shared" si="2"/>
        <v>0</v>
      </c>
      <c r="I54" s="426"/>
      <c r="J54" s="426">
        <f t="shared" si="1"/>
        <v>0</v>
      </c>
      <c r="K54" s="427">
        <f t="shared" si="0"/>
        <v>0</v>
      </c>
      <c r="L54" s="427"/>
    </row>
    <row r="55" spans="1:12" s="842" customFormat="1" ht="15" hidden="1" customHeight="1" thickBot="1">
      <c r="A55" s="927"/>
      <c r="B55" s="928" t="s">
        <v>253</v>
      </c>
      <c r="C55" s="443" t="s">
        <v>254</v>
      </c>
      <c r="D55" s="390"/>
      <c r="E55" s="416">
        <f>E56+E60</f>
        <v>0</v>
      </c>
      <c r="F55" s="929">
        <f>F56+F60</f>
        <v>443351</v>
      </c>
      <c r="G55" s="416">
        <f>G56+G60</f>
        <v>0</v>
      </c>
      <c r="H55" s="930">
        <f t="shared" si="2"/>
        <v>0</v>
      </c>
      <c r="I55" s="416"/>
      <c r="J55" s="416">
        <f t="shared" si="1"/>
        <v>0</v>
      </c>
      <c r="K55" s="417">
        <f t="shared" si="0"/>
        <v>0</v>
      </c>
      <c r="L55" s="417"/>
    </row>
    <row r="56" spans="1:12" s="842" customFormat="1" ht="15.75" hidden="1" customHeight="1">
      <c r="A56" s="927"/>
      <c r="B56" s="2546" t="s">
        <v>219</v>
      </c>
      <c r="C56" s="2547"/>
      <c r="D56" s="931"/>
      <c r="E56" s="431">
        <f>SUM(E57:E59)</f>
        <v>0</v>
      </c>
      <c r="F56" s="431">
        <f t="shared" ref="F56:H56" si="11">SUM(F57:F59)</f>
        <v>352637</v>
      </c>
      <c r="G56" s="431">
        <f t="shared" si="11"/>
        <v>0</v>
      </c>
      <c r="H56" s="431">
        <f t="shared" si="11"/>
        <v>0</v>
      </c>
      <c r="I56" s="431"/>
      <c r="J56" s="431">
        <f t="shared" si="1"/>
        <v>0</v>
      </c>
      <c r="K56" s="432">
        <f t="shared" si="0"/>
        <v>0</v>
      </c>
      <c r="L56" s="432"/>
    </row>
    <row r="57" spans="1:12" s="842" customFormat="1" ht="64.5" hidden="1" customHeight="1">
      <c r="A57" s="932"/>
      <c r="B57" s="2548"/>
      <c r="C57" s="933" t="s">
        <v>972</v>
      </c>
      <c r="D57" s="934">
        <v>2917</v>
      </c>
      <c r="E57" s="935">
        <v>0</v>
      </c>
      <c r="F57" s="936">
        <v>49</v>
      </c>
      <c r="G57" s="935">
        <v>0</v>
      </c>
      <c r="H57" s="937">
        <f t="shared" si="2"/>
        <v>0</v>
      </c>
      <c r="I57" s="935"/>
      <c r="J57" s="935">
        <f t="shared" si="1"/>
        <v>0</v>
      </c>
      <c r="K57" s="938">
        <f t="shared" si="0"/>
        <v>0</v>
      </c>
      <c r="L57" s="938"/>
    </row>
    <row r="58" spans="1:12" s="842" customFormat="1" ht="22.5" hidden="1" customHeight="1">
      <c r="A58" s="932"/>
      <c r="B58" s="2549"/>
      <c r="C58" s="2551" t="s">
        <v>256</v>
      </c>
      <c r="D58" s="934">
        <v>2957</v>
      </c>
      <c r="E58" s="935">
        <v>0</v>
      </c>
      <c r="F58" s="936">
        <v>72000</v>
      </c>
      <c r="G58" s="939">
        <v>0</v>
      </c>
      <c r="H58" s="937">
        <f t="shared" si="2"/>
        <v>0</v>
      </c>
      <c r="I58" s="939"/>
      <c r="J58" s="939">
        <f t="shared" si="1"/>
        <v>0</v>
      </c>
      <c r="K58" s="940">
        <f t="shared" si="0"/>
        <v>0</v>
      </c>
      <c r="L58" s="938"/>
    </row>
    <row r="59" spans="1:12" s="842" customFormat="1" ht="24.75" hidden="1" customHeight="1">
      <c r="A59" s="932"/>
      <c r="B59" s="2550"/>
      <c r="C59" s="2552"/>
      <c r="D59" s="934">
        <v>2959</v>
      </c>
      <c r="E59" s="935">
        <v>0</v>
      </c>
      <c r="F59" s="936">
        <v>280588</v>
      </c>
      <c r="G59" s="939">
        <v>0</v>
      </c>
      <c r="H59" s="937">
        <f t="shared" si="2"/>
        <v>0</v>
      </c>
      <c r="I59" s="939"/>
      <c r="J59" s="939">
        <f t="shared" si="1"/>
        <v>0</v>
      </c>
      <c r="K59" s="940">
        <f t="shared" si="0"/>
        <v>0</v>
      </c>
      <c r="L59" s="938"/>
    </row>
    <row r="60" spans="1:12" s="842" customFormat="1" ht="15.75" hidden="1" thickBot="1">
      <c r="A60" s="927"/>
      <c r="B60" s="2570" t="s">
        <v>229</v>
      </c>
      <c r="C60" s="2571"/>
      <c r="D60" s="941"/>
      <c r="E60" s="431">
        <v>0</v>
      </c>
      <c r="F60" s="942">
        <f>F61</f>
        <v>90714</v>
      </c>
      <c r="G60" s="431">
        <f>G61</f>
        <v>0</v>
      </c>
      <c r="H60" s="943">
        <f t="shared" si="2"/>
        <v>0</v>
      </c>
      <c r="I60" s="431"/>
      <c r="J60" s="431">
        <f t="shared" si="1"/>
        <v>0</v>
      </c>
      <c r="K60" s="432">
        <f t="shared" si="0"/>
        <v>0</v>
      </c>
      <c r="L60" s="432"/>
    </row>
    <row r="61" spans="1:12" s="842" customFormat="1" ht="51.75" hidden="1" thickBot="1">
      <c r="A61" s="927"/>
      <c r="B61" s="944"/>
      <c r="C61" s="945" t="s">
        <v>973</v>
      </c>
      <c r="D61" s="946">
        <v>6669</v>
      </c>
      <c r="E61" s="433">
        <v>0</v>
      </c>
      <c r="F61" s="947">
        <v>90714</v>
      </c>
      <c r="G61" s="434">
        <v>0</v>
      </c>
      <c r="H61" s="948">
        <f t="shared" si="2"/>
        <v>0</v>
      </c>
      <c r="I61" s="434"/>
      <c r="J61" s="434">
        <f t="shared" si="1"/>
        <v>0</v>
      </c>
      <c r="K61" s="435">
        <f t="shared" si="0"/>
        <v>0</v>
      </c>
      <c r="L61" s="480"/>
    </row>
    <row r="62" spans="1:12" s="421" customFormat="1" ht="15.75" thickBot="1">
      <c r="A62" s="949">
        <v>600</v>
      </c>
      <c r="B62" s="950"/>
      <c r="C62" s="437" t="s">
        <v>134</v>
      </c>
      <c r="D62" s="385"/>
      <c r="E62" s="387">
        <f>SUM(E63,E78,E84,E88,E104,E73)</f>
        <v>188732695</v>
      </c>
      <c r="F62" s="387">
        <f>SUM(F63,F78,F84,F88,F104,F73)</f>
        <v>164488769</v>
      </c>
      <c r="G62" s="387">
        <f>SUM(G63,G78,G84,G88,G104,G73)</f>
        <v>267116352</v>
      </c>
      <c r="H62" s="388">
        <f t="shared" si="2"/>
        <v>1.6239184816320196</v>
      </c>
      <c r="I62" s="387">
        <f>I63+I73+I104+I88</f>
        <v>-56753712</v>
      </c>
      <c r="J62" s="387">
        <f>G62+I62</f>
        <v>210362640</v>
      </c>
      <c r="K62" s="388">
        <f t="shared" si="0"/>
        <v>1.278887557362655</v>
      </c>
      <c r="L62" s="388"/>
    </row>
    <row r="63" spans="1:12" s="842" customFormat="1" ht="15.75" thickBot="1">
      <c r="A63" s="2572"/>
      <c r="B63" s="951">
        <v>60001</v>
      </c>
      <c r="C63" s="408" t="s">
        <v>257</v>
      </c>
      <c r="D63" s="399"/>
      <c r="E63" s="392">
        <f>SUM(E64,E70)</f>
        <v>27956552</v>
      </c>
      <c r="F63" s="392">
        <f>SUM(F64,F70)</f>
        <v>32847045</v>
      </c>
      <c r="G63" s="826">
        <f>SUM(G64,G70)</f>
        <v>134703465</v>
      </c>
      <c r="H63" s="393">
        <f>G63/F63</f>
        <v>4.1009309969892271</v>
      </c>
      <c r="I63" s="826">
        <f>I64</f>
        <v>-36606800</v>
      </c>
      <c r="J63" s="826">
        <f t="shared" si="1"/>
        <v>98096665</v>
      </c>
      <c r="K63" s="827">
        <f t="shared" si="0"/>
        <v>2.9864684935889971</v>
      </c>
      <c r="L63" s="841"/>
    </row>
    <row r="64" spans="1:12" s="842" customFormat="1">
      <c r="A64" s="2573"/>
      <c r="B64" s="2576" t="s">
        <v>219</v>
      </c>
      <c r="C64" s="2577"/>
      <c r="D64" s="952"/>
      <c r="E64" s="401">
        <f>SUM(E65:E69)</f>
        <v>26556552</v>
      </c>
      <c r="F64" s="401">
        <f>SUM(F65:F69)</f>
        <v>31447045</v>
      </c>
      <c r="G64" s="953">
        <f>SUM(G65:G69)</f>
        <v>59516427</v>
      </c>
      <c r="H64" s="954">
        <f t="shared" si="2"/>
        <v>1.8925920384570314</v>
      </c>
      <c r="I64" s="953">
        <f>I66</f>
        <v>-36606800</v>
      </c>
      <c r="J64" s="953">
        <f t="shared" si="1"/>
        <v>22909627</v>
      </c>
      <c r="K64" s="954">
        <f t="shared" si="0"/>
        <v>0.7285144597846952</v>
      </c>
      <c r="L64" s="845"/>
    </row>
    <row r="65" spans="1:12" s="842" customFormat="1" ht="19.5" customHeight="1">
      <c r="A65" s="2573"/>
      <c r="B65" s="2567"/>
      <c r="C65" s="955" t="s">
        <v>258</v>
      </c>
      <c r="D65" s="440" t="s">
        <v>259</v>
      </c>
      <c r="E65" s="404">
        <v>10328300</v>
      </c>
      <c r="F65" s="404">
        <v>10328300</v>
      </c>
      <c r="G65" s="956">
        <v>10336702</v>
      </c>
      <c r="H65" s="957">
        <f>G65/F65</f>
        <v>1.0008134930240213</v>
      </c>
      <c r="I65" s="956"/>
      <c r="J65" s="956">
        <f t="shared" si="1"/>
        <v>10336702</v>
      </c>
      <c r="K65" s="957">
        <f t="shared" si="0"/>
        <v>1.0008134930240213</v>
      </c>
      <c r="L65" s="851"/>
    </row>
    <row r="66" spans="1:12" s="842" customFormat="1" ht="18" hidden="1" customHeight="1">
      <c r="A66" s="2573"/>
      <c r="B66" s="2567"/>
      <c r="C66" s="958" t="s">
        <v>260</v>
      </c>
      <c r="D66" s="739" t="s">
        <v>222</v>
      </c>
      <c r="E66" s="905">
        <v>0</v>
      </c>
      <c r="F66" s="905">
        <v>0</v>
      </c>
      <c r="G66" s="905">
        <v>36606800</v>
      </c>
      <c r="H66" s="906"/>
      <c r="I66" s="905">
        <v>-36606800</v>
      </c>
      <c r="J66" s="905">
        <f t="shared" si="1"/>
        <v>0</v>
      </c>
      <c r="K66" s="906"/>
      <c r="L66" s="959"/>
    </row>
    <row r="67" spans="1:12" s="842" customFormat="1" ht="39" hidden="1" customHeight="1">
      <c r="A67" s="2573"/>
      <c r="B67" s="2578"/>
      <c r="C67" s="960" t="s">
        <v>974</v>
      </c>
      <c r="D67" s="961" t="s">
        <v>13</v>
      </c>
      <c r="E67" s="962">
        <v>0</v>
      </c>
      <c r="F67" s="962">
        <v>53398</v>
      </c>
      <c r="G67" s="905">
        <v>0</v>
      </c>
      <c r="H67" s="906">
        <f t="shared" si="2"/>
        <v>0</v>
      </c>
      <c r="I67" s="905"/>
      <c r="J67" s="905">
        <f t="shared" si="1"/>
        <v>0</v>
      </c>
      <c r="K67" s="906">
        <f t="shared" si="0"/>
        <v>0</v>
      </c>
      <c r="L67" s="959"/>
    </row>
    <row r="68" spans="1:12" s="842" customFormat="1" ht="30.75" customHeight="1">
      <c r="A68" s="2573"/>
      <c r="B68" s="2567"/>
      <c r="C68" s="441" t="s">
        <v>975</v>
      </c>
      <c r="D68" s="963" t="s">
        <v>261</v>
      </c>
      <c r="E68" s="962">
        <v>16228252</v>
      </c>
      <c r="F68" s="962">
        <v>16228252</v>
      </c>
      <c r="G68" s="905">
        <v>12572925</v>
      </c>
      <c r="H68" s="906">
        <f>G68/F68</f>
        <v>0.77475534641685373</v>
      </c>
      <c r="I68" s="905"/>
      <c r="J68" s="905">
        <f t="shared" si="1"/>
        <v>12572925</v>
      </c>
      <c r="K68" s="906">
        <f t="shared" si="0"/>
        <v>0.77475534641685373</v>
      </c>
      <c r="L68" s="959"/>
    </row>
    <row r="69" spans="1:12" s="842" customFormat="1" ht="18" hidden="1" customHeight="1">
      <c r="A69" s="2573"/>
      <c r="B69" s="2579"/>
      <c r="C69" s="964" t="s">
        <v>262</v>
      </c>
      <c r="D69" s="963" t="s">
        <v>263</v>
      </c>
      <c r="E69" s="962">
        <v>0</v>
      </c>
      <c r="F69" s="962">
        <v>4837095</v>
      </c>
      <c r="G69" s="905">
        <v>0</v>
      </c>
      <c r="H69" s="906">
        <f>G69/F69</f>
        <v>0</v>
      </c>
      <c r="I69" s="905"/>
      <c r="J69" s="905">
        <f t="shared" si="1"/>
        <v>0</v>
      </c>
      <c r="K69" s="906">
        <f t="shared" si="0"/>
        <v>0</v>
      </c>
      <c r="L69" s="959"/>
    </row>
    <row r="70" spans="1:12" s="842" customFormat="1" ht="15.75" customHeight="1">
      <c r="A70" s="2573"/>
      <c r="B70" s="2580" t="s">
        <v>229</v>
      </c>
      <c r="C70" s="2581"/>
      <c r="D70" s="965"/>
      <c r="E70" s="966">
        <f>E71+E72</f>
        <v>1400000</v>
      </c>
      <c r="F70" s="966">
        <f>F71+F72</f>
        <v>1400000</v>
      </c>
      <c r="G70" s="966">
        <f>G71+G72</f>
        <v>75187038</v>
      </c>
      <c r="H70" s="967">
        <f>G70/F70</f>
        <v>53.705027142857141</v>
      </c>
      <c r="I70" s="966"/>
      <c r="J70" s="966">
        <f t="shared" si="1"/>
        <v>75187038</v>
      </c>
      <c r="K70" s="968">
        <f t="shared" si="0"/>
        <v>53.705027142857141</v>
      </c>
      <c r="L70" s="863"/>
    </row>
    <row r="71" spans="1:12" s="842" customFormat="1" ht="40.5" customHeight="1" thickBot="1">
      <c r="A71" s="2573"/>
      <c r="B71" s="2566"/>
      <c r="C71" s="969" t="s">
        <v>976</v>
      </c>
      <c r="D71" s="970">
        <v>6257</v>
      </c>
      <c r="E71" s="935">
        <v>0</v>
      </c>
      <c r="F71" s="935">
        <v>0</v>
      </c>
      <c r="G71" s="971">
        <v>75187038</v>
      </c>
      <c r="H71" s="972"/>
      <c r="I71" s="971"/>
      <c r="J71" s="971">
        <f t="shared" si="1"/>
        <v>75187038</v>
      </c>
      <c r="K71" s="972"/>
      <c r="L71" s="973"/>
    </row>
    <row r="72" spans="1:12" s="842" customFormat="1" ht="43.5" hidden="1" customHeight="1" thickBot="1">
      <c r="A72" s="2573"/>
      <c r="B72" s="2582"/>
      <c r="C72" s="974" t="s">
        <v>977</v>
      </c>
      <c r="D72" s="975">
        <v>6260</v>
      </c>
      <c r="E72" s="976">
        <v>1400000</v>
      </c>
      <c r="F72" s="976">
        <v>1400000</v>
      </c>
      <c r="G72" s="905">
        <v>0</v>
      </c>
      <c r="H72" s="906">
        <f t="shared" ref="H72" si="12">G72/F72</f>
        <v>0</v>
      </c>
      <c r="I72" s="905"/>
      <c r="J72" s="905">
        <f t="shared" si="1"/>
        <v>0</v>
      </c>
      <c r="K72" s="906">
        <f t="shared" si="0"/>
        <v>0</v>
      </c>
      <c r="L72" s="977"/>
    </row>
    <row r="73" spans="1:12" s="842" customFormat="1" ht="15.75" thickBot="1">
      <c r="A73" s="2573"/>
      <c r="B73" s="978">
        <v>60002</v>
      </c>
      <c r="C73" s="408" t="s">
        <v>264</v>
      </c>
      <c r="D73" s="408"/>
      <c r="E73" s="416">
        <f>E74+E76</f>
        <v>32162875</v>
      </c>
      <c r="F73" s="416">
        <f>F74+F76</f>
        <v>3202805</v>
      </c>
      <c r="G73" s="898">
        <f>G74+G76</f>
        <v>35650292</v>
      </c>
      <c r="H73" s="417">
        <f>G73/F73</f>
        <v>11.130959268516191</v>
      </c>
      <c r="I73" s="898">
        <f>I74+I76</f>
        <v>-32032333</v>
      </c>
      <c r="J73" s="898">
        <f t="shared" si="1"/>
        <v>3617959</v>
      </c>
      <c r="K73" s="899">
        <f t="shared" si="0"/>
        <v>1.1296220032128088</v>
      </c>
      <c r="L73" s="417"/>
    </row>
    <row r="74" spans="1:12" s="842" customFormat="1">
      <c r="A74" s="2573"/>
      <c r="B74" s="2583" t="s">
        <v>400</v>
      </c>
      <c r="C74" s="2584"/>
      <c r="D74" s="952"/>
      <c r="E74" s="401">
        <f>E75</f>
        <v>10133508</v>
      </c>
      <c r="F74" s="401">
        <f t="shared" ref="F74:G74" si="13">F75</f>
        <v>651669</v>
      </c>
      <c r="G74" s="953">
        <f t="shared" si="13"/>
        <v>11232284</v>
      </c>
      <c r="H74" s="979">
        <f t="shared" ref="H74" si="14">G74/F74</f>
        <v>17.236179717003569</v>
      </c>
      <c r="I74" s="953">
        <f>I75</f>
        <v>-11232284</v>
      </c>
      <c r="J74" s="953">
        <f t="shared" si="1"/>
        <v>0</v>
      </c>
      <c r="K74" s="954">
        <f t="shared" si="0"/>
        <v>0</v>
      </c>
      <c r="L74" s="402"/>
    </row>
    <row r="75" spans="1:12" s="984" customFormat="1" ht="57" hidden="1" customHeight="1">
      <c r="A75" s="2573"/>
      <c r="B75" s="980"/>
      <c r="C75" s="981" t="s">
        <v>978</v>
      </c>
      <c r="D75" s="982" t="s">
        <v>222</v>
      </c>
      <c r="E75" s="490">
        <v>10133508</v>
      </c>
      <c r="F75" s="490">
        <v>651669</v>
      </c>
      <c r="G75" s="901">
        <v>11232284</v>
      </c>
      <c r="H75" s="407">
        <f>G75/F75</f>
        <v>17.236179717003569</v>
      </c>
      <c r="I75" s="901">
        <v>-11232284</v>
      </c>
      <c r="J75" s="901">
        <f t="shared" si="1"/>
        <v>0</v>
      </c>
      <c r="K75" s="902">
        <f t="shared" ref="K75:K138" si="15">J75/F75</f>
        <v>0</v>
      </c>
      <c r="L75" s="983"/>
    </row>
    <row r="76" spans="1:12" s="842" customFormat="1" ht="15.75" customHeight="1">
      <c r="A76" s="2573"/>
      <c r="B76" s="2585" t="s">
        <v>229</v>
      </c>
      <c r="C76" s="2585"/>
      <c r="D76" s="985"/>
      <c r="E76" s="875">
        <f>E77</f>
        <v>22029367</v>
      </c>
      <c r="F76" s="875">
        <f>F77</f>
        <v>2551136</v>
      </c>
      <c r="G76" s="875">
        <f>G77</f>
        <v>24418008</v>
      </c>
      <c r="H76" s="876">
        <f t="shared" si="2"/>
        <v>9.5714254355706636</v>
      </c>
      <c r="I76" s="875">
        <f>I77</f>
        <v>-20800049</v>
      </c>
      <c r="J76" s="875">
        <f t="shared" ref="J76:J140" si="16">G76+I76</f>
        <v>3617959</v>
      </c>
      <c r="K76" s="876">
        <f t="shared" si="15"/>
        <v>1.4181756676241486</v>
      </c>
      <c r="L76" s="876"/>
    </row>
    <row r="77" spans="1:12" s="842" customFormat="1" ht="52.5" customHeight="1" thickBot="1">
      <c r="A77" s="2573"/>
      <c r="B77" s="986"/>
      <c r="C77" s="987" t="s">
        <v>265</v>
      </c>
      <c r="D77" s="988">
        <v>6257</v>
      </c>
      <c r="E77" s="989">
        <v>22029367</v>
      </c>
      <c r="F77" s="989">
        <v>2551136</v>
      </c>
      <c r="G77" s="513">
        <v>24418008</v>
      </c>
      <c r="H77" s="990">
        <f t="shared" si="2"/>
        <v>9.5714254355706636</v>
      </c>
      <c r="I77" s="513">
        <v>-20800049</v>
      </c>
      <c r="J77" s="513">
        <f t="shared" si="16"/>
        <v>3617959</v>
      </c>
      <c r="K77" s="514">
        <f t="shared" si="15"/>
        <v>1.4181756676241486</v>
      </c>
      <c r="L77" s="991"/>
    </row>
    <row r="78" spans="1:12" s="842" customFormat="1" ht="15.75" thickBot="1">
      <c r="A78" s="2573"/>
      <c r="B78" s="442">
        <v>60003</v>
      </c>
      <c r="C78" s="391" t="s">
        <v>266</v>
      </c>
      <c r="D78" s="391"/>
      <c r="E78" s="826">
        <f>SUM(E79,E83)</f>
        <v>55000000</v>
      </c>
      <c r="F78" s="826">
        <f>SUM(F79,F83)</f>
        <v>54927426</v>
      </c>
      <c r="G78" s="826">
        <f>SUM(G79,G83)</f>
        <v>55000000</v>
      </c>
      <c r="H78" s="827">
        <f t="shared" ref="H78:H141" si="17">G78/F78</f>
        <v>1.0013212707254842</v>
      </c>
      <c r="I78" s="992"/>
      <c r="J78" s="826">
        <f t="shared" si="16"/>
        <v>55000000</v>
      </c>
      <c r="K78" s="827">
        <f t="shared" si="15"/>
        <v>1.0013212707254842</v>
      </c>
      <c r="L78" s="993"/>
    </row>
    <row r="79" spans="1:12" s="842" customFormat="1">
      <c r="A79" s="2573"/>
      <c r="B79" s="2553" t="s">
        <v>219</v>
      </c>
      <c r="C79" s="2554"/>
      <c r="D79" s="994"/>
      <c r="E79" s="953">
        <f>SUM(E80:E82)</f>
        <v>55000000</v>
      </c>
      <c r="F79" s="953">
        <f t="shared" ref="F79:G79" si="18">SUM(F80:F82)</f>
        <v>54927426</v>
      </c>
      <c r="G79" s="995">
        <f t="shared" si="18"/>
        <v>55000000</v>
      </c>
      <c r="H79" s="830">
        <f t="shared" si="17"/>
        <v>1.0013212707254842</v>
      </c>
      <c r="I79" s="995"/>
      <c r="J79" s="829">
        <f t="shared" si="16"/>
        <v>55000000</v>
      </c>
      <c r="K79" s="830">
        <f t="shared" si="15"/>
        <v>1.0013212707254842</v>
      </c>
      <c r="L79" s="996"/>
    </row>
    <row r="80" spans="1:12" s="842" customFormat="1" ht="0.75" customHeight="1">
      <c r="A80" s="2574"/>
      <c r="B80" s="2586"/>
      <c r="C80" s="933" t="s">
        <v>979</v>
      </c>
      <c r="D80" s="997" t="s">
        <v>980</v>
      </c>
      <c r="E80" s="998">
        <v>0</v>
      </c>
      <c r="F80" s="971">
        <v>1264</v>
      </c>
      <c r="G80" s="936">
        <v>0</v>
      </c>
      <c r="H80" s="940">
        <f t="shared" si="17"/>
        <v>0</v>
      </c>
      <c r="I80" s="936"/>
      <c r="J80" s="935">
        <f t="shared" si="16"/>
        <v>0</v>
      </c>
      <c r="K80" s="938">
        <f t="shared" si="15"/>
        <v>0</v>
      </c>
      <c r="L80" s="999"/>
    </row>
    <row r="81" spans="1:12" s="842" customFormat="1" ht="39.75" customHeight="1">
      <c r="A81" s="2574"/>
      <c r="B81" s="2587"/>
      <c r="C81" s="463" t="s">
        <v>227</v>
      </c>
      <c r="D81" s="471">
        <v>2210</v>
      </c>
      <c r="E81" s="1000">
        <v>55000000</v>
      </c>
      <c r="F81" s="901">
        <v>54920000</v>
      </c>
      <c r="G81" s="1001">
        <v>55000000</v>
      </c>
      <c r="H81" s="407">
        <f t="shared" si="17"/>
        <v>1.0014566642388929</v>
      </c>
      <c r="I81" s="1001"/>
      <c r="J81" s="406">
        <f t="shared" si="16"/>
        <v>55000000</v>
      </c>
      <c r="K81" s="407">
        <f t="shared" si="15"/>
        <v>1.0014566642388929</v>
      </c>
      <c r="L81" s="1002" t="s">
        <v>971</v>
      </c>
    </row>
    <row r="82" spans="1:12" s="842" customFormat="1" ht="0.75" customHeight="1">
      <c r="A82" s="2574"/>
      <c r="B82" s="2588"/>
      <c r="C82" s="1003" t="s">
        <v>981</v>
      </c>
      <c r="D82" s="834" t="s">
        <v>434</v>
      </c>
      <c r="E82" s="1004">
        <v>0</v>
      </c>
      <c r="F82" s="832">
        <v>6162</v>
      </c>
      <c r="G82" s="1005">
        <v>0</v>
      </c>
      <c r="H82" s="940">
        <f t="shared" si="17"/>
        <v>0</v>
      </c>
      <c r="I82" s="1005"/>
      <c r="J82" s="939">
        <f t="shared" si="16"/>
        <v>0</v>
      </c>
      <c r="K82" s="940">
        <f t="shared" si="15"/>
        <v>0</v>
      </c>
      <c r="L82" s="1006"/>
    </row>
    <row r="83" spans="1:12" s="842" customFormat="1" ht="15.75" thickBot="1">
      <c r="A83" s="2573"/>
      <c r="B83" s="2559" t="s">
        <v>223</v>
      </c>
      <c r="C83" s="2560"/>
      <c r="D83" s="1007"/>
      <c r="E83" s="1008">
        <v>0</v>
      </c>
      <c r="F83" s="923">
        <v>0</v>
      </c>
      <c r="G83" s="1009">
        <v>0</v>
      </c>
      <c r="H83" s="837"/>
      <c r="I83" s="1008"/>
      <c r="J83" s="923">
        <f t="shared" si="16"/>
        <v>0</v>
      </c>
      <c r="K83" s="924"/>
      <c r="L83" s="1010"/>
    </row>
    <row r="84" spans="1:12" s="842" customFormat="1" ht="15.75" thickBot="1">
      <c r="A84" s="2573"/>
      <c r="B84" s="951">
        <v>60004</v>
      </c>
      <c r="C84" s="408" t="s">
        <v>267</v>
      </c>
      <c r="D84" s="399"/>
      <c r="E84" s="392">
        <f>SUM(E87,E85)</f>
        <v>0</v>
      </c>
      <c r="F84" s="392">
        <f>SUM(F87,F85)</f>
        <v>0</v>
      </c>
      <c r="G84" s="392">
        <f>SUM(G87,G85)</f>
        <v>100000</v>
      </c>
      <c r="H84" s="393"/>
      <c r="I84" s="392"/>
      <c r="J84" s="392">
        <f t="shared" si="16"/>
        <v>100000</v>
      </c>
      <c r="K84" s="393"/>
      <c r="L84" s="393"/>
    </row>
    <row r="85" spans="1:12" s="842" customFormat="1">
      <c r="A85" s="2573"/>
      <c r="B85" s="2547" t="s">
        <v>219</v>
      </c>
      <c r="C85" s="2561"/>
      <c r="D85" s="1011"/>
      <c r="E85" s="394">
        <f>SUM(E86:E86)</f>
        <v>0</v>
      </c>
      <c r="F85" s="394">
        <f>SUM(F86:F86)</f>
        <v>0</v>
      </c>
      <c r="G85" s="394">
        <f>SUM(G86:G86)</f>
        <v>100000</v>
      </c>
      <c r="H85" s="395"/>
      <c r="I85" s="394"/>
      <c r="J85" s="394">
        <f t="shared" si="16"/>
        <v>100000</v>
      </c>
      <c r="K85" s="395"/>
      <c r="L85" s="395"/>
    </row>
    <row r="86" spans="1:12" s="842" customFormat="1" ht="21" customHeight="1">
      <c r="A86" s="2573"/>
      <c r="B86" s="1012"/>
      <c r="C86" s="1013" t="s">
        <v>268</v>
      </c>
      <c r="D86" s="1014" t="s">
        <v>269</v>
      </c>
      <c r="E86" s="935">
        <v>0</v>
      </c>
      <c r="F86" s="935">
        <v>0</v>
      </c>
      <c r="G86" s="939">
        <v>100000</v>
      </c>
      <c r="H86" s="938"/>
      <c r="I86" s="939"/>
      <c r="J86" s="939">
        <f t="shared" si="16"/>
        <v>100000</v>
      </c>
      <c r="K86" s="940"/>
      <c r="L86" s="938"/>
    </row>
    <row r="87" spans="1:12" s="842" customFormat="1" ht="15.75" thickBot="1">
      <c r="A87" s="2573"/>
      <c r="B87" s="2562" t="s">
        <v>223</v>
      </c>
      <c r="C87" s="2563"/>
      <c r="D87" s="1015"/>
      <c r="E87" s="429">
        <v>0</v>
      </c>
      <c r="F87" s="429">
        <v>0</v>
      </c>
      <c r="G87" s="429">
        <v>0</v>
      </c>
      <c r="H87" s="430"/>
      <c r="I87" s="429"/>
      <c r="J87" s="429">
        <f t="shared" si="16"/>
        <v>0</v>
      </c>
      <c r="K87" s="430"/>
      <c r="L87" s="430"/>
    </row>
    <row r="88" spans="1:12" s="842" customFormat="1" ht="15.75" thickBot="1">
      <c r="A88" s="2573"/>
      <c r="B88" s="978">
        <v>60013</v>
      </c>
      <c r="C88" s="408" t="s">
        <v>270</v>
      </c>
      <c r="D88" s="399"/>
      <c r="E88" s="392">
        <f>SUM(E89,E96)</f>
        <v>73443381</v>
      </c>
      <c r="F88" s="392">
        <f>SUM(F89,F96)</f>
        <v>73261606</v>
      </c>
      <c r="G88" s="392">
        <f>SUM(G89,G96)</f>
        <v>41496595</v>
      </c>
      <c r="H88" s="393">
        <f t="shared" si="17"/>
        <v>0.56641667123704609</v>
      </c>
      <c r="I88" s="392">
        <f>I89+I96</f>
        <v>11874000</v>
      </c>
      <c r="J88" s="392">
        <f t="shared" si="16"/>
        <v>53370595</v>
      </c>
      <c r="K88" s="393">
        <f t="shared" si="15"/>
        <v>0.72849338028434707</v>
      </c>
      <c r="L88" s="393"/>
    </row>
    <row r="89" spans="1:12" s="842" customFormat="1">
      <c r="A89" s="2573"/>
      <c r="B89" s="2564" t="s">
        <v>219</v>
      </c>
      <c r="C89" s="2565"/>
      <c r="D89" s="1011"/>
      <c r="E89" s="394">
        <f>SUM(E90:E95)</f>
        <v>19383745</v>
      </c>
      <c r="F89" s="394">
        <f>SUM(F90:F95)</f>
        <v>20719179</v>
      </c>
      <c r="G89" s="394">
        <f>SUM(G90:G95)</f>
        <v>1183498</v>
      </c>
      <c r="H89" s="395">
        <f t="shared" si="17"/>
        <v>5.7120892676297649E-2</v>
      </c>
      <c r="I89" s="394">
        <f>I90</f>
        <v>200000</v>
      </c>
      <c r="J89" s="394">
        <f t="shared" si="16"/>
        <v>1383498</v>
      </c>
      <c r="K89" s="395">
        <f t="shared" si="15"/>
        <v>6.6773784810681927E-2</v>
      </c>
      <c r="L89" s="395"/>
    </row>
    <row r="90" spans="1:12" s="842" customFormat="1">
      <c r="A90" s="2573"/>
      <c r="B90" s="2566"/>
      <c r="C90" s="2568" t="s">
        <v>271</v>
      </c>
      <c r="D90" s="1016" t="s">
        <v>269</v>
      </c>
      <c r="E90" s="939">
        <v>900000</v>
      </c>
      <c r="F90" s="939">
        <v>900000</v>
      </c>
      <c r="G90" s="939">
        <v>900000</v>
      </c>
      <c r="H90" s="938">
        <f t="shared" si="17"/>
        <v>1</v>
      </c>
      <c r="I90" s="939">
        <v>200000</v>
      </c>
      <c r="J90" s="939">
        <f t="shared" si="16"/>
        <v>1100000</v>
      </c>
      <c r="K90" s="940">
        <f t="shared" si="15"/>
        <v>1.2222222222222223</v>
      </c>
      <c r="L90" s="938"/>
    </row>
    <row r="91" spans="1:12" s="842" customFormat="1" ht="14.25" customHeight="1">
      <c r="A91" s="2573"/>
      <c r="B91" s="2567"/>
      <c r="C91" s="2569"/>
      <c r="D91" s="1017" t="s">
        <v>222</v>
      </c>
      <c r="E91" s="939">
        <v>9000</v>
      </c>
      <c r="F91" s="939">
        <v>9000</v>
      </c>
      <c r="G91" s="939">
        <v>9000</v>
      </c>
      <c r="H91" s="940">
        <f t="shared" si="17"/>
        <v>1</v>
      </c>
      <c r="I91" s="939"/>
      <c r="J91" s="939">
        <f t="shared" si="16"/>
        <v>9000</v>
      </c>
      <c r="K91" s="940">
        <f t="shared" si="15"/>
        <v>1</v>
      </c>
      <c r="L91" s="940"/>
    </row>
    <row r="92" spans="1:12" s="842" customFormat="1" ht="29.25" hidden="1" customHeight="1">
      <c r="A92" s="2573"/>
      <c r="B92" s="2567"/>
      <c r="C92" s="1018" t="s">
        <v>272</v>
      </c>
      <c r="D92" s="2591" t="s">
        <v>273</v>
      </c>
      <c r="E92" s="939">
        <v>18474745</v>
      </c>
      <c r="F92" s="939">
        <v>18474745</v>
      </c>
      <c r="G92" s="939">
        <v>0</v>
      </c>
      <c r="H92" s="940">
        <f t="shared" si="17"/>
        <v>0</v>
      </c>
      <c r="I92" s="939"/>
      <c r="J92" s="939">
        <f t="shared" si="16"/>
        <v>0</v>
      </c>
      <c r="K92" s="940">
        <f t="shared" si="15"/>
        <v>0</v>
      </c>
      <c r="L92" s="1019" t="s">
        <v>982</v>
      </c>
    </row>
    <row r="93" spans="1:12" s="842" customFormat="1" ht="28.5" customHeight="1">
      <c r="A93" s="2573"/>
      <c r="B93" s="2567"/>
      <c r="C93" s="1018" t="s">
        <v>317</v>
      </c>
      <c r="D93" s="2592"/>
      <c r="E93" s="939">
        <v>0</v>
      </c>
      <c r="F93" s="939">
        <v>0</v>
      </c>
      <c r="G93" s="939">
        <v>274498</v>
      </c>
      <c r="H93" s="940"/>
      <c r="I93" s="939"/>
      <c r="J93" s="939">
        <f t="shared" si="16"/>
        <v>274498</v>
      </c>
      <c r="K93" s="940"/>
      <c r="L93" s="1019"/>
    </row>
    <row r="94" spans="1:12" s="842" customFormat="1" ht="30" hidden="1" customHeight="1">
      <c r="A94" s="2573"/>
      <c r="B94" s="2567"/>
      <c r="C94" s="1020" t="s">
        <v>274</v>
      </c>
      <c r="D94" s="1021" t="s">
        <v>275</v>
      </c>
      <c r="E94" s="939">
        <v>0</v>
      </c>
      <c r="F94" s="939">
        <v>250000</v>
      </c>
      <c r="G94" s="939">
        <v>0</v>
      </c>
      <c r="H94" s="940">
        <f t="shared" si="17"/>
        <v>0</v>
      </c>
      <c r="I94" s="939"/>
      <c r="J94" s="939">
        <f t="shared" si="16"/>
        <v>0</v>
      </c>
      <c r="K94" s="940">
        <f t="shared" si="15"/>
        <v>0</v>
      </c>
      <c r="L94" s="940"/>
    </row>
    <row r="95" spans="1:12" s="842" customFormat="1" ht="25.5" hidden="1" customHeight="1">
      <c r="A95" s="2573"/>
      <c r="B95" s="2567"/>
      <c r="C95" s="445" t="s">
        <v>276</v>
      </c>
      <c r="D95" s="1022" t="s">
        <v>277</v>
      </c>
      <c r="E95" s="406">
        <v>0</v>
      </c>
      <c r="F95" s="406">
        <v>1085434</v>
      </c>
      <c r="G95" s="406">
        <v>0</v>
      </c>
      <c r="H95" s="407">
        <f t="shared" si="17"/>
        <v>0</v>
      </c>
      <c r="I95" s="406"/>
      <c r="J95" s="406">
        <f t="shared" si="16"/>
        <v>0</v>
      </c>
      <c r="K95" s="407">
        <f t="shared" si="15"/>
        <v>0</v>
      </c>
      <c r="L95" s="407"/>
    </row>
    <row r="96" spans="1:12" s="842" customFormat="1">
      <c r="A96" s="2573"/>
      <c r="B96" s="2580" t="s">
        <v>229</v>
      </c>
      <c r="C96" s="2571"/>
      <c r="D96" s="1023"/>
      <c r="E96" s="966">
        <f>SUM(E97:E103)</f>
        <v>54059636</v>
      </c>
      <c r="F96" s="966">
        <f>SUM(F97:F103)</f>
        <v>52542427</v>
      </c>
      <c r="G96" s="966">
        <f>SUM(G97:G103)</f>
        <v>40313097</v>
      </c>
      <c r="H96" s="968">
        <f>G96/F96</f>
        <v>0.76724847521794148</v>
      </c>
      <c r="I96" s="966">
        <f>I102</f>
        <v>11674000</v>
      </c>
      <c r="J96" s="966">
        <f t="shared" si="16"/>
        <v>51987097</v>
      </c>
      <c r="K96" s="968">
        <f t="shared" si="15"/>
        <v>0.9894308270152804</v>
      </c>
      <c r="L96" s="968"/>
    </row>
    <row r="97" spans="1:15" s="842" customFormat="1" ht="51">
      <c r="A97" s="2574"/>
      <c r="B97" s="2593"/>
      <c r="C97" s="1024" t="s">
        <v>983</v>
      </c>
      <c r="D97" s="1025">
        <v>6208</v>
      </c>
      <c r="E97" s="1026">
        <v>0</v>
      </c>
      <c r="F97" s="406">
        <v>4528959</v>
      </c>
      <c r="G97" s="406">
        <v>4501041</v>
      </c>
      <c r="H97" s="1027">
        <f>G97/F97</f>
        <v>0.99383566952140656</v>
      </c>
      <c r="I97" s="406"/>
      <c r="J97" s="406">
        <f t="shared" si="16"/>
        <v>4501041</v>
      </c>
      <c r="K97" s="407">
        <f t="shared" si="15"/>
        <v>0.99383566952140656</v>
      </c>
      <c r="L97" s="407"/>
    </row>
    <row r="98" spans="1:15" s="842" customFormat="1" ht="39.75" hidden="1" customHeight="1">
      <c r="A98" s="2574"/>
      <c r="B98" s="2593"/>
      <c r="C98" s="1028" t="s">
        <v>278</v>
      </c>
      <c r="D98" s="1029">
        <v>6257</v>
      </c>
      <c r="E98" s="939">
        <v>25891932</v>
      </c>
      <c r="F98" s="939">
        <v>26004194</v>
      </c>
      <c r="G98" s="939">
        <v>0</v>
      </c>
      <c r="H98" s="940">
        <f t="shared" si="17"/>
        <v>0</v>
      </c>
      <c r="I98" s="939"/>
      <c r="J98" s="939">
        <f t="shared" si="16"/>
        <v>0</v>
      </c>
      <c r="K98" s="940">
        <f t="shared" si="15"/>
        <v>0</v>
      </c>
      <c r="L98" s="940"/>
    </row>
    <row r="99" spans="1:15" s="842" customFormat="1" ht="43.5" customHeight="1">
      <c r="A99" s="2574"/>
      <c r="B99" s="2593"/>
      <c r="C99" s="1030" t="s">
        <v>279</v>
      </c>
      <c r="D99" s="1031">
        <v>6258</v>
      </c>
      <c r="E99" s="1032">
        <v>16275028</v>
      </c>
      <c r="F99" s="935">
        <v>1449450</v>
      </c>
      <c r="G99" s="939">
        <v>26857061</v>
      </c>
      <c r="H99" s="1033">
        <f t="shared" si="17"/>
        <v>18.52913932871089</v>
      </c>
      <c r="I99" s="939"/>
      <c r="J99" s="939">
        <f t="shared" si="16"/>
        <v>26857061</v>
      </c>
      <c r="K99" s="940">
        <f t="shared" si="15"/>
        <v>18.52913932871089</v>
      </c>
      <c r="L99" s="1034"/>
    </row>
    <row r="100" spans="1:15" s="842" customFormat="1" ht="56.25" hidden="1" customHeight="1">
      <c r="A100" s="2574"/>
      <c r="B100" s="2593"/>
      <c r="C100" s="1030" t="s">
        <v>280</v>
      </c>
      <c r="D100" s="1031">
        <v>6280</v>
      </c>
      <c r="E100" s="1032">
        <v>0</v>
      </c>
      <c r="F100" s="935">
        <v>95000</v>
      </c>
      <c r="G100" s="939">
        <v>0</v>
      </c>
      <c r="H100" s="938">
        <f t="shared" si="17"/>
        <v>0</v>
      </c>
      <c r="I100" s="939"/>
      <c r="J100" s="939">
        <f t="shared" si="16"/>
        <v>0</v>
      </c>
      <c r="K100" s="940">
        <f t="shared" si="15"/>
        <v>0</v>
      </c>
      <c r="L100" s="938"/>
    </row>
    <row r="101" spans="1:15" s="842" customFormat="1" ht="37.5" customHeight="1">
      <c r="A101" s="2574"/>
      <c r="B101" s="2593"/>
      <c r="C101" s="1028" t="s">
        <v>281</v>
      </c>
      <c r="D101" s="1035">
        <v>6300</v>
      </c>
      <c r="E101" s="1036">
        <v>11892676</v>
      </c>
      <c r="F101" s="939">
        <v>17544317</v>
      </c>
      <c r="G101" s="939">
        <v>2150000</v>
      </c>
      <c r="H101" s="940">
        <f t="shared" si="17"/>
        <v>0.12254680532733192</v>
      </c>
      <c r="I101" s="939"/>
      <c r="J101" s="939">
        <f t="shared" si="16"/>
        <v>2150000</v>
      </c>
      <c r="K101" s="940">
        <f t="shared" si="15"/>
        <v>0.12254680532733192</v>
      </c>
      <c r="L101" s="940"/>
    </row>
    <row r="102" spans="1:15" s="842" customFormat="1" ht="43.5" customHeight="1">
      <c r="A102" s="2574"/>
      <c r="B102" s="2593"/>
      <c r="C102" s="1028" t="s">
        <v>984</v>
      </c>
      <c r="D102" s="1037">
        <v>6350</v>
      </c>
      <c r="E102" s="1038">
        <v>0</v>
      </c>
      <c r="F102" s="962">
        <v>0</v>
      </c>
      <c r="G102" s="962">
        <v>0</v>
      </c>
      <c r="H102" s="940"/>
      <c r="I102" s="962">
        <v>11674000</v>
      </c>
      <c r="J102" s="962">
        <f t="shared" si="16"/>
        <v>11674000</v>
      </c>
      <c r="K102" s="1033"/>
      <c r="L102" s="1033"/>
    </row>
    <row r="103" spans="1:15" s="842" customFormat="1" ht="34.5" customHeight="1" thickBot="1">
      <c r="A103" s="2574"/>
      <c r="B103" s="2594"/>
      <c r="C103" s="1039" t="s">
        <v>401</v>
      </c>
      <c r="D103" s="1040">
        <v>6530</v>
      </c>
      <c r="E103" s="1038">
        <v>0</v>
      </c>
      <c r="F103" s="962">
        <v>2920507</v>
      </c>
      <c r="G103" s="962">
        <v>6804995</v>
      </c>
      <c r="H103" s="1033">
        <f t="shared" si="17"/>
        <v>2.33007316880254</v>
      </c>
      <c r="I103" s="962"/>
      <c r="J103" s="962">
        <f t="shared" si="16"/>
        <v>6804995</v>
      </c>
      <c r="K103" s="1033">
        <f t="shared" si="15"/>
        <v>2.33007316880254</v>
      </c>
      <c r="L103" s="1033"/>
    </row>
    <row r="104" spans="1:15" s="842" customFormat="1" ht="15.75" thickBot="1">
      <c r="A104" s="2573"/>
      <c r="B104" s="1041">
        <v>60095</v>
      </c>
      <c r="C104" s="448" t="s">
        <v>239</v>
      </c>
      <c r="D104" s="1042"/>
      <c r="E104" s="416">
        <f>SUM(E105,E109)</f>
        <v>169887</v>
      </c>
      <c r="F104" s="416">
        <f>SUM(F105,F109)</f>
        <v>249887</v>
      </c>
      <c r="G104" s="416">
        <f>SUM(G105,G109)</f>
        <v>166000</v>
      </c>
      <c r="H104" s="417">
        <f t="shared" si="17"/>
        <v>0.66430026371920103</v>
      </c>
      <c r="I104" s="416">
        <f>I105</f>
        <v>11421</v>
      </c>
      <c r="J104" s="416">
        <f t="shared" si="16"/>
        <v>177421</v>
      </c>
      <c r="K104" s="417">
        <f t="shared" si="15"/>
        <v>0.71000492222484568</v>
      </c>
      <c r="L104" s="417"/>
    </row>
    <row r="105" spans="1:15" s="842" customFormat="1">
      <c r="A105" s="2573"/>
      <c r="B105" s="2576" t="s">
        <v>219</v>
      </c>
      <c r="C105" s="2595"/>
      <c r="D105" s="1043"/>
      <c r="E105" s="451">
        <f>SUM(E106:E108)</f>
        <v>169887</v>
      </c>
      <c r="F105" s="451">
        <f>SUM(F106:F108)</f>
        <v>249887</v>
      </c>
      <c r="G105" s="451">
        <f>SUM(G106:G108)</f>
        <v>166000</v>
      </c>
      <c r="H105" s="452">
        <f t="shared" si="17"/>
        <v>0.66430026371920103</v>
      </c>
      <c r="I105" s="451">
        <f>I107+I108</f>
        <v>11421</v>
      </c>
      <c r="J105" s="451">
        <f t="shared" si="16"/>
        <v>177421</v>
      </c>
      <c r="K105" s="452">
        <f t="shared" si="15"/>
        <v>0.71000492222484568</v>
      </c>
      <c r="L105" s="452"/>
    </row>
    <row r="106" spans="1:15" s="842" customFormat="1" ht="54.75" hidden="1" customHeight="1">
      <c r="A106" s="2573"/>
      <c r="B106" s="2596"/>
      <c r="C106" s="960" t="s">
        <v>282</v>
      </c>
      <c r="D106" s="1044" t="s">
        <v>236</v>
      </c>
      <c r="E106" s="939">
        <v>2150</v>
      </c>
      <c r="F106" s="939">
        <v>2150</v>
      </c>
      <c r="G106" s="939">
        <v>0</v>
      </c>
      <c r="H106" s="940">
        <f t="shared" si="17"/>
        <v>0</v>
      </c>
      <c r="I106" s="939"/>
      <c r="J106" s="939">
        <f t="shared" si="16"/>
        <v>0</v>
      </c>
      <c r="K106" s="940">
        <f t="shared" si="15"/>
        <v>0</v>
      </c>
      <c r="L106" s="940"/>
    </row>
    <row r="107" spans="1:15" s="842" customFormat="1" ht="38.25">
      <c r="A107" s="2573"/>
      <c r="B107" s="2597"/>
      <c r="C107" s="960" t="s">
        <v>227</v>
      </c>
      <c r="D107" s="934">
        <v>2210</v>
      </c>
      <c r="E107" s="939">
        <v>163000</v>
      </c>
      <c r="F107" s="939">
        <v>243000</v>
      </c>
      <c r="G107" s="939">
        <f>83000+80000</f>
        <v>163000</v>
      </c>
      <c r="H107" s="940">
        <f t="shared" si="17"/>
        <v>0.67078189300411528</v>
      </c>
      <c r="I107" s="939">
        <v>6000</v>
      </c>
      <c r="J107" s="939">
        <f t="shared" si="16"/>
        <v>169000</v>
      </c>
      <c r="K107" s="940">
        <f t="shared" si="15"/>
        <v>0.69547325102880664</v>
      </c>
      <c r="L107" s="1045" t="s">
        <v>971</v>
      </c>
      <c r="M107" s="421" t="s">
        <v>985</v>
      </c>
      <c r="O107" s="421" t="s">
        <v>986</v>
      </c>
    </row>
    <row r="108" spans="1:15" s="842" customFormat="1" ht="38.25">
      <c r="A108" s="2573"/>
      <c r="B108" s="2597"/>
      <c r="C108" s="974" t="s">
        <v>228</v>
      </c>
      <c r="D108" s="1046">
        <v>2360</v>
      </c>
      <c r="E108" s="939">
        <v>4737</v>
      </c>
      <c r="F108" s="939">
        <v>4737</v>
      </c>
      <c r="G108" s="939">
        <v>3000</v>
      </c>
      <c r="H108" s="940">
        <f t="shared" si="17"/>
        <v>0.6333122229259025</v>
      </c>
      <c r="I108" s="939">
        <v>5421</v>
      </c>
      <c r="J108" s="939">
        <f t="shared" si="16"/>
        <v>8421</v>
      </c>
      <c r="K108" s="940">
        <f t="shared" si="15"/>
        <v>1.7777074097530083</v>
      </c>
      <c r="L108" s="940"/>
    </row>
    <row r="109" spans="1:15" s="842" customFormat="1" ht="15.75" thickBot="1">
      <c r="A109" s="2575"/>
      <c r="B109" s="2562" t="s">
        <v>223</v>
      </c>
      <c r="C109" s="2598"/>
      <c r="D109" s="1047"/>
      <c r="E109" s="397">
        <v>0</v>
      </c>
      <c r="F109" s="397">
        <v>0</v>
      </c>
      <c r="G109" s="397">
        <v>0</v>
      </c>
      <c r="H109" s="398"/>
      <c r="I109" s="397"/>
      <c r="J109" s="397">
        <f t="shared" si="16"/>
        <v>0</v>
      </c>
      <c r="K109" s="398"/>
      <c r="L109" s="398"/>
    </row>
    <row r="110" spans="1:15" s="824" customFormat="1" ht="15.75" thickBot="1">
      <c r="A110" s="453">
        <v>630</v>
      </c>
      <c r="B110" s="454"/>
      <c r="C110" s="460" t="s">
        <v>283</v>
      </c>
      <c r="D110" s="455"/>
      <c r="E110" s="822">
        <f>E111+E115</f>
        <v>84370</v>
      </c>
      <c r="F110" s="822">
        <f t="shared" ref="F110:G110" si="19">F111+F115</f>
        <v>49114</v>
      </c>
      <c r="G110" s="822">
        <f t="shared" si="19"/>
        <v>194119</v>
      </c>
      <c r="H110" s="823">
        <f>G110/F110</f>
        <v>3.9524168261595474</v>
      </c>
      <c r="I110" s="822">
        <f>I115</f>
        <v>1000</v>
      </c>
      <c r="J110" s="822">
        <f t="shared" si="16"/>
        <v>195119</v>
      </c>
      <c r="K110" s="823">
        <f t="shared" si="15"/>
        <v>3.9727776194160525</v>
      </c>
      <c r="L110" s="823"/>
    </row>
    <row r="111" spans="1:15" s="824" customFormat="1" ht="15.75" thickBot="1">
      <c r="A111" s="2572"/>
      <c r="B111" s="447">
        <v>63003</v>
      </c>
      <c r="C111" s="1048" t="s">
        <v>284</v>
      </c>
      <c r="D111" s="456"/>
      <c r="E111" s="898">
        <f>E112+E114</f>
        <v>49370</v>
      </c>
      <c r="F111" s="898">
        <f t="shared" ref="F111:G111" si="20">F112+F114</f>
        <v>14114</v>
      </c>
      <c r="G111" s="1049">
        <f t="shared" si="20"/>
        <v>159119</v>
      </c>
      <c r="H111" s="827">
        <f t="shared" ref="H111:H113" si="21">G111/F111</f>
        <v>11.2738415757404</v>
      </c>
      <c r="I111" s="1049"/>
      <c r="J111" s="1049">
        <f t="shared" si="16"/>
        <v>159119</v>
      </c>
      <c r="K111" s="1050">
        <f t="shared" si="15"/>
        <v>11.2738415757404</v>
      </c>
      <c r="L111" s="899"/>
    </row>
    <row r="112" spans="1:15" s="842" customFormat="1">
      <c r="A112" s="2573"/>
      <c r="B112" s="2515" t="s">
        <v>219</v>
      </c>
      <c r="C112" s="2589"/>
      <c r="D112" s="1051"/>
      <c r="E112" s="1052">
        <f t="shared" ref="E112:G112" si="22">E113</f>
        <v>49370</v>
      </c>
      <c r="F112" s="1052">
        <f t="shared" si="22"/>
        <v>14114</v>
      </c>
      <c r="G112" s="451">
        <f t="shared" si="22"/>
        <v>159119</v>
      </c>
      <c r="H112" s="1053">
        <f t="shared" si="21"/>
        <v>11.2738415757404</v>
      </c>
      <c r="I112" s="451"/>
      <c r="J112" s="451">
        <f t="shared" si="16"/>
        <v>159119</v>
      </c>
      <c r="K112" s="452">
        <f t="shared" si="15"/>
        <v>11.2738415757404</v>
      </c>
      <c r="L112" s="1054"/>
    </row>
    <row r="113" spans="1:12" s="842" customFormat="1" ht="64.5" customHeight="1">
      <c r="A113" s="2573"/>
      <c r="B113" s="457"/>
      <c r="C113" s="1055" t="s">
        <v>285</v>
      </c>
      <c r="D113" s="459">
        <v>2058</v>
      </c>
      <c r="E113" s="832">
        <v>49370</v>
      </c>
      <c r="F113" s="832">
        <v>14114</v>
      </c>
      <c r="G113" s="939">
        <v>159119</v>
      </c>
      <c r="H113" s="833">
        <f t="shared" si="21"/>
        <v>11.2738415757404</v>
      </c>
      <c r="I113" s="939"/>
      <c r="J113" s="939">
        <f t="shared" si="16"/>
        <v>159119</v>
      </c>
      <c r="K113" s="940">
        <f t="shared" si="15"/>
        <v>11.2738415757404</v>
      </c>
      <c r="L113" s="833"/>
    </row>
    <row r="114" spans="1:12" s="842" customFormat="1" ht="15.75" thickBot="1">
      <c r="A114" s="2573"/>
      <c r="B114" s="2590" t="s">
        <v>223</v>
      </c>
      <c r="C114" s="2543"/>
      <c r="D114" s="1056"/>
      <c r="E114" s="875">
        <v>0</v>
      </c>
      <c r="F114" s="875">
        <v>0</v>
      </c>
      <c r="G114" s="966">
        <v>0</v>
      </c>
      <c r="H114" s="1057"/>
      <c r="I114" s="966"/>
      <c r="J114" s="966">
        <f t="shared" si="16"/>
        <v>0</v>
      </c>
      <c r="K114" s="968"/>
      <c r="L114" s="876"/>
    </row>
    <row r="115" spans="1:12" s="842" customFormat="1" ht="15.75" thickBot="1">
      <c r="A115" s="2573"/>
      <c r="B115" s="447">
        <v>63095</v>
      </c>
      <c r="C115" s="1048" t="s">
        <v>239</v>
      </c>
      <c r="D115" s="456"/>
      <c r="E115" s="898">
        <f>E116+E118</f>
        <v>35000</v>
      </c>
      <c r="F115" s="898">
        <f>F116+F118</f>
        <v>35000</v>
      </c>
      <c r="G115" s="898">
        <f>G116+G118</f>
        <v>35000</v>
      </c>
      <c r="H115" s="899">
        <f t="shared" ref="H115:H117" si="23">G115/F115</f>
        <v>1</v>
      </c>
      <c r="I115" s="898">
        <f>I116</f>
        <v>1000</v>
      </c>
      <c r="J115" s="898">
        <f t="shared" si="16"/>
        <v>36000</v>
      </c>
      <c r="K115" s="899">
        <f t="shared" si="15"/>
        <v>1.0285714285714285</v>
      </c>
      <c r="L115" s="1058"/>
    </row>
    <row r="116" spans="1:12" s="842" customFormat="1">
      <c r="A116" s="2573"/>
      <c r="B116" s="2515" t="s">
        <v>219</v>
      </c>
      <c r="C116" s="2589"/>
      <c r="D116" s="1051"/>
      <c r="E116" s="1052">
        <f t="shared" ref="E116:G116" si="24">E117</f>
        <v>35000</v>
      </c>
      <c r="F116" s="1052">
        <f t="shared" si="24"/>
        <v>35000</v>
      </c>
      <c r="G116" s="1052">
        <f t="shared" si="24"/>
        <v>35000</v>
      </c>
      <c r="H116" s="1054">
        <f t="shared" si="23"/>
        <v>1</v>
      </c>
      <c r="I116" s="1052">
        <f>I117</f>
        <v>1000</v>
      </c>
      <c r="J116" s="1052">
        <f t="shared" si="16"/>
        <v>36000</v>
      </c>
      <c r="K116" s="1054">
        <f t="shared" si="15"/>
        <v>1.0285714285714285</v>
      </c>
      <c r="L116" s="1059"/>
    </row>
    <row r="117" spans="1:12" s="842" customFormat="1" ht="41.25" customHeight="1">
      <c r="A117" s="2573"/>
      <c r="B117" s="457"/>
      <c r="C117" s="1055" t="s">
        <v>227</v>
      </c>
      <c r="D117" s="459">
        <v>2210</v>
      </c>
      <c r="E117" s="832">
        <v>35000</v>
      </c>
      <c r="F117" s="832">
        <v>35000</v>
      </c>
      <c r="G117" s="832">
        <v>35000</v>
      </c>
      <c r="H117" s="833">
        <f t="shared" si="23"/>
        <v>1</v>
      </c>
      <c r="I117" s="832">
        <v>1000</v>
      </c>
      <c r="J117" s="832">
        <f t="shared" si="16"/>
        <v>36000</v>
      </c>
      <c r="K117" s="833">
        <f t="shared" si="15"/>
        <v>1.0285714285714285</v>
      </c>
      <c r="L117" s="871" t="s">
        <v>971</v>
      </c>
    </row>
    <row r="118" spans="1:12" s="842" customFormat="1" ht="15.75" thickBot="1">
      <c r="A118" s="2575"/>
      <c r="B118" s="2590" t="s">
        <v>223</v>
      </c>
      <c r="C118" s="2543"/>
      <c r="D118" s="1060"/>
      <c r="E118" s="875">
        <v>0</v>
      </c>
      <c r="F118" s="875">
        <v>0</v>
      </c>
      <c r="G118" s="875">
        <v>0</v>
      </c>
      <c r="H118" s="876"/>
      <c r="I118" s="875"/>
      <c r="J118" s="875">
        <f t="shared" si="16"/>
        <v>0</v>
      </c>
      <c r="K118" s="876"/>
      <c r="L118" s="863"/>
    </row>
    <row r="119" spans="1:12" s="824" customFormat="1" ht="15.75" thickBot="1">
      <c r="A119" s="453">
        <v>700</v>
      </c>
      <c r="B119" s="454"/>
      <c r="C119" s="460" t="s">
        <v>286</v>
      </c>
      <c r="D119" s="460"/>
      <c r="E119" s="822">
        <f t="shared" ref="E119:G119" si="25">SUM(E120)</f>
        <v>4973700</v>
      </c>
      <c r="F119" s="822">
        <f t="shared" si="25"/>
        <v>4973700</v>
      </c>
      <c r="G119" s="822">
        <f t="shared" si="25"/>
        <v>5331900</v>
      </c>
      <c r="H119" s="823">
        <f t="shared" si="17"/>
        <v>1.0720188189878763</v>
      </c>
      <c r="I119" s="822"/>
      <c r="J119" s="822">
        <f t="shared" si="16"/>
        <v>5331900</v>
      </c>
      <c r="K119" s="823">
        <f t="shared" si="15"/>
        <v>1.0720188189878763</v>
      </c>
      <c r="L119" s="823"/>
    </row>
    <row r="120" spans="1:12" s="842" customFormat="1" ht="15.75" thickBot="1">
      <c r="A120" s="2599"/>
      <c r="B120" s="438">
        <v>70005</v>
      </c>
      <c r="C120" s="868" t="s">
        <v>287</v>
      </c>
      <c r="D120" s="400"/>
      <c r="E120" s="898">
        <f>SUM(E121,E126)</f>
        <v>4973700</v>
      </c>
      <c r="F120" s="898">
        <f>SUM(F121,F126)</f>
        <v>4973700</v>
      </c>
      <c r="G120" s="898">
        <f>SUM(G121,G126)</f>
        <v>5331900</v>
      </c>
      <c r="H120" s="899">
        <f t="shared" si="17"/>
        <v>1.0720188189878763</v>
      </c>
      <c r="I120" s="898"/>
      <c r="J120" s="898">
        <f t="shared" si="16"/>
        <v>5331900</v>
      </c>
      <c r="K120" s="899">
        <f t="shared" si="15"/>
        <v>1.0720188189878763</v>
      </c>
      <c r="L120" s="1058"/>
    </row>
    <row r="121" spans="1:12" s="842" customFormat="1">
      <c r="A121" s="2600"/>
      <c r="B121" s="2590" t="s">
        <v>219</v>
      </c>
      <c r="C121" s="2601"/>
      <c r="D121" s="1061"/>
      <c r="E121" s="1062">
        <f>SUM(E122:E125)</f>
        <v>312000</v>
      </c>
      <c r="F121" s="1062">
        <f>SUM(F122:F125)</f>
        <v>312000</v>
      </c>
      <c r="G121" s="1062">
        <f>SUM(G122:G125)</f>
        <v>435000</v>
      </c>
      <c r="H121" s="1063">
        <f t="shared" si="17"/>
        <v>1.3942307692307692</v>
      </c>
      <c r="I121" s="1062"/>
      <c r="J121" s="1062">
        <f t="shared" si="16"/>
        <v>435000</v>
      </c>
      <c r="K121" s="1063">
        <f t="shared" si="15"/>
        <v>1.3942307692307692</v>
      </c>
      <c r="L121" s="862"/>
    </row>
    <row r="122" spans="1:12" s="842" customFormat="1" ht="21" customHeight="1">
      <c r="A122" s="2600"/>
      <c r="B122" s="2602"/>
      <c r="C122" s="1064" t="s">
        <v>288</v>
      </c>
      <c r="D122" s="1065" t="s">
        <v>289</v>
      </c>
      <c r="E122" s="905">
        <v>285000</v>
      </c>
      <c r="F122" s="905">
        <v>285000</v>
      </c>
      <c r="G122" s="905">
        <v>330000</v>
      </c>
      <c r="H122" s="906">
        <f t="shared" si="17"/>
        <v>1.1578947368421053</v>
      </c>
      <c r="I122" s="905"/>
      <c r="J122" s="905">
        <f t="shared" si="16"/>
        <v>330000</v>
      </c>
      <c r="K122" s="906">
        <f t="shared" si="15"/>
        <v>1.1578947368421053</v>
      </c>
      <c r="L122" s="959"/>
    </row>
    <row r="123" spans="1:12" s="842" customFormat="1" ht="19.5" customHeight="1">
      <c r="A123" s="2600"/>
      <c r="B123" s="2603"/>
      <c r="C123" s="1066" t="s">
        <v>290</v>
      </c>
      <c r="D123" s="882" t="s">
        <v>291</v>
      </c>
      <c r="E123" s="832">
        <v>21000</v>
      </c>
      <c r="F123" s="832">
        <v>21000</v>
      </c>
      <c r="G123" s="832">
        <v>22000</v>
      </c>
      <c r="H123" s="833">
        <f t="shared" si="17"/>
        <v>1.0476190476190477</v>
      </c>
      <c r="I123" s="832"/>
      <c r="J123" s="832">
        <f t="shared" si="16"/>
        <v>22000</v>
      </c>
      <c r="K123" s="833">
        <f t="shared" si="15"/>
        <v>1.0476190476190477</v>
      </c>
      <c r="L123" s="856"/>
    </row>
    <row r="124" spans="1:12" s="842" customFormat="1" ht="21" customHeight="1">
      <c r="A124" s="2600"/>
      <c r="B124" s="2603"/>
      <c r="C124" s="1064" t="s">
        <v>292</v>
      </c>
      <c r="D124" s="1065" t="s">
        <v>259</v>
      </c>
      <c r="E124" s="832">
        <v>6000</v>
      </c>
      <c r="F124" s="832">
        <v>6000</v>
      </c>
      <c r="G124" s="832">
        <v>53000</v>
      </c>
      <c r="H124" s="833">
        <f t="shared" si="17"/>
        <v>8.8333333333333339</v>
      </c>
      <c r="I124" s="832"/>
      <c r="J124" s="832">
        <f t="shared" si="16"/>
        <v>53000</v>
      </c>
      <c r="K124" s="833">
        <f t="shared" si="15"/>
        <v>8.8333333333333339</v>
      </c>
      <c r="L124" s="856"/>
    </row>
    <row r="125" spans="1:12" s="842" customFormat="1" ht="21" customHeight="1">
      <c r="A125" s="2600"/>
      <c r="B125" s="2604"/>
      <c r="C125" s="1064" t="s">
        <v>987</v>
      </c>
      <c r="D125" s="882" t="s">
        <v>221</v>
      </c>
      <c r="E125" s="832">
        <v>0</v>
      </c>
      <c r="F125" s="832">
        <v>0</v>
      </c>
      <c r="G125" s="832">
        <v>30000</v>
      </c>
      <c r="H125" s="833"/>
      <c r="I125" s="832"/>
      <c r="J125" s="832">
        <f t="shared" si="16"/>
        <v>30000</v>
      </c>
      <c r="K125" s="833"/>
      <c r="L125" s="856"/>
    </row>
    <row r="126" spans="1:12" s="842" customFormat="1">
      <c r="A126" s="2600"/>
      <c r="B126" s="2605" t="s">
        <v>229</v>
      </c>
      <c r="C126" s="2543"/>
      <c r="D126" s="1061"/>
      <c r="E126" s="875">
        <f>SUM(E127:E128)</f>
        <v>4661700</v>
      </c>
      <c r="F126" s="875">
        <f>SUM(F127:F128)</f>
        <v>4661700</v>
      </c>
      <c r="G126" s="875">
        <f>SUM(G127:G128)</f>
        <v>4896900</v>
      </c>
      <c r="H126" s="876">
        <f t="shared" si="17"/>
        <v>1.0504536971491087</v>
      </c>
      <c r="I126" s="875"/>
      <c r="J126" s="875">
        <f t="shared" si="16"/>
        <v>4896900</v>
      </c>
      <c r="K126" s="876">
        <f t="shared" si="15"/>
        <v>1.0504536971491087</v>
      </c>
      <c r="L126" s="863"/>
    </row>
    <row r="127" spans="1:12" s="984" customFormat="1" ht="30.75" customHeight="1">
      <c r="A127" s="2600"/>
      <c r="B127" s="2606"/>
      <c r="C127" s="872" t="s">
        <v>293</v>
      </c>
      <c r="D127" s="997" t="s">
        <v>294</v>
      </c>
      <c r="E127" s="832">
        <v>1700</v>
      </c>
      <c r="F127" s="832">
        <v>1700</v>
      </c>
      <c r="G127" s="832">
        <v>6900</v>
      </c>
      <c r="H127" s="833">
        <f t="shared" si="17"/>
        <v>4.0588235294117645</v>
      </c>
      <c r="I127" s="832"/>
      <c r="J127" s="832">
        <f t="shared" si="16"/>
        <v>6900</v>
      </c>
      <c r="K127" s="833">
        <f t="shared" si="15"/>
        <v>4.0588235294117645</v>
      </c>
      <c r="L127" s="856"/>
    </row>
    <row r="128" spans="1:12" s="842" customFormat="1" ht="189.75" customHeight="1" thickBot="1">
      <c r="A128" s="2600"/>
      <c r="B128" s="2607"/>
      <c r="C128" s="1067" t="s">
        <v>988</v>
      </c>
      <c r="D128" s="1068" t="s">
        <v>295</v>
      </c>
      <c r="E128" s="905">
        <v>4660000</v>
      </c>
      <c r="F128" s="905">
        <v>4660000</v>
      </c>
      <c r="G128" s="905">
        <v>4890000</v>
      </c>
      <c r="H128" s="906">
        <f t="shared" si="17"/>
        <v>1.0493562231759657</v>
      </c>
      <c r="I128" s="905"/>
      <c r="J128" s="905">
        <f t="shared" si="16"/>
        <v>4890000</v>
      </c>
      <c r="K128" s="906">
        <f t="shared" si="15"/>
        <v>1.0493562231759657</v>
      </c>
      <c r="L128" s="1069" t="s">
        <v>989</v>
      </c>
    </row>
    <row r="129" spans="1:12" s="824" customFormat="1" ht="15.75" thickBot="1">
      <c r="A129" s="453">
        <v>710</v>
      </c>
      <c r="B129" s="464"/>
      <c r="C129" s="460" t="s">
        <v>296</v>
      </c>
      <c r="D129" s="465"/>
      <c r="E129" s="822">
        <f>SUM(E130,E136,E140)</f>
        <v>875753</v>
      </c>
      <c r="F129" s="822">
        <f t="shared" ref="F129:G129" si="26">SUM(F130,F136,F140)</f>
        <v>875753</v>
      </c>
      <c r="G129" s="822">
        <f t="shared" si="26"/>
        <v>545571</v>
      </c>
      <c r="H129" s="823">
        <f t="shared" si="17"/>
        <v>0.62297360100393606</v>
      </c>
      <c r="I129" s="822">
        <f>I140</f>
        <v>81862</v>
      </c>
      <c r="J129" s="822">
        <f t="shared" si="16"/>
        <v>627433</v>
      </c>
      <c r="K129" s="823">
        <f t="shared" si="15"/>
        <v>0.71644972954702979</v>
      </c>
      <c r="L129" s="823"/>
    </row>
    <row r="130" spans="1:12" s="842" customFormat="1" ht="15.75" thickBot="1">
      <c r="A130" s="2572"/>
      <c r="B130" s="444">
        <v>71003</v>
      </c>
      <c r="C130" s="868" t="s">
        <v>297</v>
      </c>
      <c r="D130" s="400"/>
      <c r="E130" s="826">
        <f>SUM(E131,E135)</f>
        <v>29550</v>
      </c>
      <c r="F130" s="826">
        <f>SUM(F131,F135)</f>
        <v>29550</v>
      </c>
      <c r="G130" s="826">
        <f>SUM(G131,G135)</f>
        <v>39000</v>
      </c>
      <c r="H130" s="827">
        <f t="shared" si="17"/>
        <v>1.3197969543147208</v>
      </c>
      <c r="I130" s="826"/>
      <c r="J130" s="826">
        <f t="shared" si="16"/>
        <v>39000</v>
      </c>
      <c r="K130" s="827">
        <f t="shared" si="15"/>
        <v>1.3197969543147208</v>
      </c>
      <c r="L130" s="841"/>
    </row>
    <row r="131" spans="1:12" s="842" customFormat="1">
      <c r="A131" s="2573"/>
      <c r="B131" s="2608" t="s">
        <v>219</v>
      </c>
      <c r="C131" s="2609"/>
      <c r="D131" s="1061"/>
      <c r="E131" s="829">
        <f>SUM(E132:E134)</f>
        <v>29550</v>
      </c>
      <c r="F131" s="829">
        <f t="shared" ref="F131:G131" si="27">SUM(F132:F134)</f>
        <v>29550</v>
      </c>
      <c r="G131" s="829">
        <f t="shared" si="27"/>
        <v>39000</v>
      </c>
      <c r="H131" s="830">
        <f t="shared" si="17"/>
        <v>1.3197969543147208</v>
      </c>
      <c r="I131" s="829"/>
      <c r="J131" s="829">
        <f t="shared" si="16"/>
        <v>39000</v>
      </c>
      <c r="K131" s="830">
        <f t="shared" si="15"/>
        <v>1.3197969543147208</v>
      </c>
      <c r="L131" s="891"/>
    </row>
    <row r="132" spans="1:12" s="842" customFormat="1" ht="17.25" customHeight="1">
      <c r="A132" s="2573"/>
      <c r="B132" s="2610"/>
      <c r="C132" s="2613" t="s">
        <v>298</v>
      </c>
      <c r="D132" s="882" t="s">
        <v>259</v>
      </c>
      <c r="E132" s="832">
        <v>3000</v>
      </c>
      <c r="F132" s="832">
        <v>3000</v>
      </c>
      <c r="G132" s="832">
        <v>2900</v>
      </c>
      <c r="H132" s="833">
        <f t="shared" si="17"/>
        <v>0.96666666666666667</v>
      </c>
      <c r="I132" s="832"/>
      <c r="J132" s="832">
        <f t="shared" si="16"/>
        <v>2900</v>
      </c>
      <c r="K132" s="833">
        <f t="shared" si="15"/>
        <v>0.96666666666666667</v>
      </c>
      <c r="L132" s="856"/>
    </row>
    <row r="133" spans="1:12" s="842" customFormat="1" ht="15" customHeight="1">
      <c r="A133" s="2573"/>
      <c r="B133" s="2611"/>
      <c r="C133" s="2614"/>
      <c r="D133" s="1070" t="s">
        <v>221</v>
      </c>
      <c r="E133" s="832">
        <v>26550</v>
      </c>
      <c r="F133" s="832">
        <v>26550</v>
      </c>
      <c r="G133" s="832">
        <v>35200</v>
      </c>
      <c r="H133" s="833">
        <f t="shared" si="17"/>
        <v>1.3258003766478343</v>
      </c>
      <c r="I133" s="832"/>
      <c r="J133" s="832">
        <f t="shared" si="16"/>
        <v>35200</v>
      </c>
      <c r="K133" s="833">
        <f t="shared" si="15"/>
        <v>1.3258003766478343</v>
      </c>
      <c r="L133" s="856"/>
    </row>
    <row r="134" spans="1:12" s="842" customFormat="1" ht="15" customHeight="1">
      <c r="A134" s="2573"/>
      <c r="B134" s="2612"/>
      <c r="C134" s="2615"/>
      <c r="D134" s="446" t="s">
        <v>222</v>
      </c>
      <c r="E134" s="901">
        <v>0</v>
      </c>
      <c r="F134" s="901">
        <v>0</v>
      </c>
      <c r="G134" s="901">
        <v>900</v>
      </c>
      <c r="H134" s="906"/>
      <c r="I134" s="901"/>
      <c r="J134" s="901">
        <f t="shared" si="16"/>
        <v>900</v>
      </c>
      <c r="K134" s="902"/>
      <c r="L134" s="867"/>
    </row>
    <row r="135" spans="1:12" s="842" customFormat="1" ht="15.75" thickBot="1">
      <c r="A135" s="2573"/>
      <c r="B135" s="2616" t="s">
        <v>223</v>
      </c>
      <c r="C135" s="2617"/>
      <c r="D135" s="908"/>
      <c r="E135" s="836">
        <v>0</v>
      </c>
      <c r="F135" s="836">
        <v>0</v>
      </c>
      <c r="G135" s="836">
        <v>0</v>
      </c>
      <c r="H135" s="1071"/>
      <c r="I135" s="836"/>
      <c r="J135" s="836">
        <f t="shared" si="16"/>
        <v>0</v>
      </c>
      <c r="K135" s="837"/>
      <c r="L135" s="1071"/>
    </row>
    <row r="136" spans="1:12" s="824" customFormat="1" ht="15.75" thickBot="1">
      <c r="A136" s="2573"/>
      <c r="B136" s="438">
        <v>71005</v>
      </c>
      <c r="C136" s="868" t="s">
        <v>299</v>
      </c>
      <c r="D136" s="400"/>
      <c r="E136" s="826">
        <f t="shared" ref="E136:G136" si="28">SUM(E139,E137)</f>
        <v>421</v>
      </c>
      <c r="F136" s="826">
        <f t="shared" si="28"/>
        <v>421</v>
      </c>
      <c r="G136" s="826">
        <f t="shared" si="28"/>
        <v>421</v>
      </c>
      <c r="H136" s="827">
        <f t="shared" si="17"/>
        <v>1</v>
      </c>
      <c r="I136" s="826"/>
      <c r="J136" s="826">
        <f t="shared" si="16"/>
        <v>421</v>
      </c>
      <c r="K136" s="827">
        <f t="shared" si="15"/>
        <v>1</v>
      </c>
      <c r="L136" s="827"/>
    </row>
    <row r="137" spans="1:12" s="824" customFormat="1">
      <c r="A137" s="2573"/>
      <c r="B137" s="2590" t="s">
        <v>219</v>
      </c>
      <c r="C137" s="2601"/>
      <c r="D137" s="1061"/>
      <c r="E137" s="829">
        <f t="shared" ref="E137:G137" si="29">SUM(E138)</f>
        <v>421</v>
      </c>
      <c r="F137" s="829">
        <f t="shared" si="29"/>
        <v>421</v>
      </c>
      <c r="G137" s="829">
        <f t="shared" si="29"/>
        <v>421</v>
      </c>
      <c r="H137" s="830">
        <f t="shared" si="17"/>
        <v>1</v>
      </c>
      <c r="I137" s="829"/>
      <c r="J137" s="829">
        <f t="shared" si="16"/>
        <v>421</v>
      </c>
      <c r="K137" s="830">
        <f t="shared" si="15"/>
        <v>1</v>
      </c>
      <c r="L137" s="830"/>
    </row>
    <row r="138" spans="1:12" s="824" customFormat="1" ht="38.25">
      <c r="A138" s="2573"/>
      <c r="B138" s="1072"/>
      <c r="C138" s="881" t="s">
        <v>228</v>
      </c>
      <c r="D138" s="1073">
        <v>2360</v>
      </c>
      <c r="E138" s="832">
        <v>421</v>
      </c>
      <c r="F138" s="832">
        <v>421</v>
      </c>
      <c r="G138" s="832">
        <v>421</v>
      </c>
      <c r="H138" s="833">
        <f t="shared" si="17"/>
        <v>1</v>
      </c>
      <c r="I138" s="832"/>
      <c r="J138" s="832">
        <f t="shared" si="16"/>
        <v>421</v>
      </c>
      <c r="K138" s="833">
        <f t="shared" si="15"/>
        <v>1</v>
      </c>
      <c r="L138" s="833"/>
    </row>
    <row r="139" spans="1:12" s="824" customFormat="1" ht="15.75" thickBot="1">
      <c r="A139" s="2573"/>
      <c r="B139" s="2544" t="s">
        <v>223</v>
      </c>
      <c r="C139" s="2545"/>
      <c r="D139" s="908"/>
      <c r="E139" s="836">
        <v>0</v>
      </c>
      <c r="F139" s="836">
        <v>0</v>
      </c>
      <c r="G139" s="836">
        <v>0</v>
      </c>
      <c r="H139" s="837"/>
      <c r="I139" s="836"/>
      <c r="J139" s="836">
        <f t="shared" si="16"/>
        <v>0</v>
      </c>
      <c r="K139" s="837"/>
      <c r="L139" s="837"/>
    </row>
    <row r="140" spans="1:12" s="842" customFormat="1" ht="15.75" thickBot="1">
      <c r="A140" s="2573"/>
      <c r="B140" s="466">
        <v>71012</v>
      </c>
      <c r="C140" s="868" t="s">
        <v>300</v>
      </c>
      <c r="D140" s="400"/>
      <c r="E140" s="826">
        <f>SUM(E141,E146)</f>
        <v>845782</v>
      </c>
      <c r="F140" s="826">
        <f>SUM(F141,F146)</f>
        <v>845782</v>
      </c>
      <c r="G140" s="826">
        <f>SUM(G141,G146)</f>
        <v>506150</v>
      </c>
      <c r="H140" s="827">
        <f t="shared" si="17"/>
        <v>0.59844026001972139</v>
      </c>
      <c r="I140" s="826">
        <f>I141</f>
        <v>81862</v>
      </c>
      <c r="J140" s="826">
        <f t="shared" si="16"/>
        <v>588012</v>
      </c>
      <c r="K140" s="827">
        <f t="shared" ref="K140:K203" si="30">J140/F140</f>
        <v>0.69522879418100647</v>
      </c>
      <c r="L140" s="827"/>
    </row>
    <row r="141" spans="1:12" s="842" customFormat="1">
      <c r="A141" s="2573"/>
      <c r="B141" s="2590" t="s">
        <v>219</v>
      </c>
      <c r="C141" s="2601"/>
      <c r="D141" s="1061"/>
      <c r="E141" s="829">
        <f>SUM(E142:E145)</f>
        <v>845782</v>
      </c>
      <c r="F141" s="829">
        <f>SUM(F142:F145)</f>
        <v>845782</v>
      </c>
      <c r="G141" s="829">
        <f>SUM(G142:G145)</f>
        <v>506150</v>
      </c>
      <c r="H141" s="830">
        <f t="shared" si="17"/>
        <v>0.59844026001972139</v>
      </c>
      <c r="I141" s="829">
        <f>I144+I145</f>
        <v>81862</v>
      </c>
      <c r="J141" s="829">
        <f t="shared" ref="J141:J204" si="31">G141+I141</f>
        <v>588012</v>
      </c>
      <c r="K141" s="830">
        <f t="shared" si="30"/>
        <v>0.69522879418100647</v>
      </c>
      <c r="L141" s="830"/>
    </row>
    <row r="142" spans="1:12" s="842" customFormat="1">
      <c r="A142" s="2573"/>
      <c r="B142" s="2621"/>
      <c r="C142" s="2613" t="s">
        <v>301</v>
      </c>
      <c r="D142" s="1070" t="s">
        <v>236</v>
      </c>
      <c r="E142" s="832">
        <v>9000</v>
      </c>
      <c r="F142" s="832">
        <v>9000</v>
      </c>
      <c r="G142" s="832">
        <v>9000</v>
      </c>
      <c r="H142" s="833">
        <f t="shared" ref="H142:H205" si="32">G142/F142</f>
        <v>1</v>
      </c>
      <c r="I142" s="832"/>
      <c r="J142" s="832">
        <f t="shared" si="31"/>
        <v>9000</v>
      </c>
      <c r="K142" s="833">
        <f t="shared" si="30"/>
        <v>1</v>
      </c>
      <c r="L142" s="856"/>
    </row>
    <row r="143" spans="1:12" s="842" customFormat="1">
      <c r="A143" s="2573"/>
      <c r="B143" s="2622"/>
      <c r="C143" s="2615"/>
      <c r="D143" s="882" t="s">
        <v>222</v>
      </c>
      <c r="E143" s="832">
        <v>150</v>
      </c>
      <c r="F143" s="832">
        <v>150</v>
      </c>
      <c r="G143" s="832">
        <v>150</v>
      </c>
      <c r="H143" s="833">
        <f t="shared" si="32"/>
        <v>1</v>
      </c>
      <c r="I143" s="832"/>
      <c r="J143" s="832">
        <f t="shared" si="31"/>
        <v>150</v>
      </c>
      <c r="K143" s="833">
        <f t="shared" si="30"/>
        <v>1</v>
      </c>
      <c r="L143" s="856"/>
    </row>
    <row r="144" spans="1:12" s="842" customFormat="1" ht="53.25" customHeight="1">
      <c r="A144" s="2573"/>
      <c r="B144" s="2622"/>
      <c r="C144" s="1074" t="s">
        <v>302</v>
      </c>
      <c r="D144" s="882" t="s">
        <v>303</v>
      </c>
      <c r="E144" s="832">
        <v>339632</v>
      </c>
      <c r="F144" s="832">
        <v>339632</v>
      </c>
      <c r="G144" s="832">
        <v>0</v>
      </c>
      <c r="H144" s="833">
        <f t="shared" si="32"/>
        <v>0</v>
      </c>
      <c r="I144" s="832">
        <v>278862</v>
      </c>
      <c r="J144" s="832">
        <f t="shared" si="31"/>
        <v>278862</v>
      </c>
      <c r="K144" s="833">
        <f t="shared" si="30"/>
        <v>0.82107104159796485</v>
      </c>
      <c r="L144" s="856"/>
    </row>
    <row r="145" spans="1:12" s="842" customFormat="1" ht="42.75" customHeight="1">
      <c r="A145" s="2573"/>
      <c r="B145" s="2622"/>
      <c r="C145" s="881" t="s">
        <v>227</v>
      </c>
      <c r="D145" s="882" t="s">
        <v>304</v>
      </c>
      <c r="E145" s="832">
        <v>497000</v>
      </c>
      <c r="F145" s="832">
        <v>497000</v>
      </c>
      <c r="G145" s="832">
        <f>399000+98000</f>
        <v>497000</v>
      </c>
      <c r="H145" s="833">
        <f t="shared" si="32"/>
        <v>1</v>
      </c>
      <c r="I145" s="832">
        <v>-197000</v>
      </c>
      <c r="J145" s="832">
        <f t="shared" si="31"/>
        <v>300000</v>
      </c>
      <c r="K145" s="833">
        <f t="shared" si="30"/>
        <v>0.60362173038229372</v>
      </c>
      <c r="L145" s="871" t="s">
        <v>971</v>
      </c>
    </row>
    <row r="146" spans="1:12" s="842" customFormat="1" ht="16.5" customHeight="1" thickBot="1">
      <c r="A146" s="2573"/>
      <c r="B146" s="2623" t="s">
        <v>223</v>
      </c>
      <c r="C146" s="2624"/>
      <c r="D146" s="1075"/>
      <c r="E146" s="1076">
        <v>0</v>
      </c>
      <c r="F146" s="1076">
        <v>0</v>
      </c>
      <c r="G146" s="1076">
        <v>0</v>
      </c>
      <c r="H146" s="1077"/>
      <c r="I146" s="1076"/>
      <c r="J146" s="1076">
        <f t="shared" si="31"/>
        <v>0</v>
      </c>
      <c r="K146" s="1077"/>
      <c r="L146" s="1077"/>
    </row>
    <row r="147" spans="1:12" s="469" customFormat="1" ht="17.25" customHeight="1" thickBot="1">
      <c r="A147" s="436">
        <v>720</v>
      </c>
      <c r="B147" s="467"/>
      <c r="C147" s="1078" t="s">
        <v>306</v>
      </c>
      <c r="D147" s="468"/>
      <c r="E147" s="916">
        <f t="shared" ref="E147:G147" si="33">SUM(E148)</f>
        <v>4500000</v>
      </c>
      <c r="F147" s="916">
        <f t="shared" si="33"/>
        <v>4590564</v>
      </c>
      <c r="G147" s="916">
        <f t="shared" si="33"/>
        <v>4500000</v>
      </c>
      <c r="H147" s="917">
        <f t="shared" si="32"/>
        <v>0.98027170517609596</v>
      </c>
      <c r="I147" s="916">
        <f>I148</f>
        <v>1035000</v>
      </c>
      <c r="J147" s="916">
        <f t="shared" si="31"/>
        <v>5535000</v>
      </c>
      <c r="K147" s="917">
        <f t="shared" si="30"/>
        <v>1.205734197366598</v>
      </c>
      <c r="L147" s="917"/>
    </row>
    <row r="148" spans="1:12" s="824" customFormat="1" ht="15.75" thickBot="1">
      <c r="A148" s="2572"/>
      <c r="B148" s="470">
        <v>72095</v>
      </c>
      <c r="C148" s="868" t="s">
        <v>239</v>
      </c>
      <c r="D148" s="400"/>
      <c r="E148" s="826">
        <f>SUM(E149,E151)</f>
        <v>4500000</v>
      </c>
      <c r="F148" s="826">
        <f>SUM(F149,F151)</f>
        <v>4590564</v>
      </c>
      <c r="G148" s="826">
        <f>SUM(G149,G151)</f>
        <v>4500000</v>
      </c>
      <c r="H148" s="827">
        <f t="shared" si="32"/>
        <v>0.98027170517609596</v>
      </c>
      <c r="I148" s="826">
        <f>I149</f>
        <v>1035000</v>
      </c>
      <c r="J148" s="826">
        <f t="shared" si="31"/>
        <v>5535000</v>
      </c>
      <c r="K148" s="827">
        <f t="shared" si="30"/>
        <v>1.205734197366598</v>
      </c>
      <c r="L148" s="827"/>
    </row>
    <row r="149" spans="1:12" s="824" customFormat="1">
      <c r="A149" s="2573"/>
      <c r="B149" s="2515" t="s">
        <v>219</v>
      </c>
      <c r="C149" s="2618"/>
      <c r="D149" s="912"/>
      <c r="E149" s="953">
        <f>SUM(E150:E150)</f>
        <v>4500000</v>
      </c>
      <c r="F149" s="953">
        <f>SUM(F150:F150)</f>
        <v>4500000</v>
      </c>
      <c r="G149" s="953">
        <f>SUM(G150:G150)</f>
        <v>4500000</v>
      </c>
      <c r="H149" s="954">
        <f t="shared" si="32"/>
        <v>1</v>
      </c>
      <c r="I149" s="953">
        <f>I150</f>
        <v>1035000</v>
      </c>
      <c r="J149" s="953">
        <f t="shared" si="31"/>
        <v>5535000</v>
      </c>
      <c r="K149" s="954">
        <f t="shared" si="30"/>
        <v>1.23</v>
      </c>
      <c r="L149" s="954"/>
    </row>
    <row r="150" spans="1:12" s="824" customFormat="1" ht="40.5" customHeight="1">
      <c r="A150" s="2573"/>
      <c r="B150" s="736"/>
      <c r="C150" s="1079" t="s">
        <v>307</v>
      </c>
      <c r="D150" s="471" t="s">
        <v>222</v>
      </c>
      <c r="E150" s="956">
        <v>4500000</v>
      </c>
      <c r="F150" s="956">
        <v>4500000</v>
      </c>
      <c r="G150" s="956">
        <v>4500000</v>
      </c>
      <c r="H150" s="957">
        <f t="shared" si="32"/>
        <v>1</v>
      </c>
      <c r="I150" s="956">
        <v>1035000</v>
      </c>
      <c r="J150" s="956">
        <f t="shared" si="31"/>
        <v>5535000</v>
      </c>
      <c r="K150" s="957">
        <f t="shared" si="30"/>
        <v>1.23</v>
      </c>
      <c r="L150" s="957"/>
    </row>
    <row r="151" spans="1:12" s="824" customFormat="1" ht="15.75" thickBot="1">
      <c r="A151" s="2573"/>
      <c r="B151" s="2526" t="s">
        <v>223</v>
      </c>
      <c r="C151" s="2543"/>
      <c r="D151" s="1080"/>
      <c r="E151" s="875">
        <f>E152</f>
        <v>0</v>
      </c>
      <c r="F151" s="875">
        <f>F152</f>
        <v>90564</v>
      </c>
      <c r="G151" s="875">
        <f>G152</f>
        <v>0</v>
      </c>
      <c r="H151" s="1081">
        <f t="shared" si="32"/>
        <v>0</v>
      </c>
      <c r="I151" s="875"/>
      <c r="J151" s="875">
        <f t="shared" si="31"/>
        <v>0</v>
      </c>
      <c r="K151" s="876">
        <f t="shared" si="30"/>
        <v>0</v>
      </c>
      <c r="L151" s="876"/>
    </row>
    <row r="152" spans="1:12" s="1087" customFormat="1" ht="64.5" hidden="1" thickBot="1">
      <c r="A152" s="2575"/>
      <c r="B152" s="1082"/>
      <c r="C152" s="1083" t="s">
        <v>990</v>
      </c>
      <c r="D152" s="1084" t="s">
        <v>991</v>
      </c>
      <c r="E152" s="901">
        <v>0</v>
      </c>
      <c r="F152" s="901">
        <v>90564</v>
      </c>
      <c r="G152" s="1085">
        <v>0</v>
      </c>
      <c r="H152" s="902">
        <f>G152/F152</f>
        <v>0</v>
      </c>
      <c r="I152" s="1085"/>
      <c r="J152" s="1085">
        <f t="shared" si="31"/>
        <v>0</v>
      </c>
      <c r="K152" s="1086">
        <f t="shared" si="30"/>
        <v>0</v>
      </c>
      <c r="L152" s="1086"/>
    </row>
    <row r="153" spans="1:12" s="842" customFormat="1" ht="15.75" thickBot="1">
      <c r="A153" s="1088">
        <v>730</v>
      </c>
      <c r="B153" s="1089"/>
      <c r="C153" s="472" t="s">
        <v>992</v>
      </c>
      <c r="D153" s="1090"/>
      <c r="E153" s="473">
        <f t="shared" ref="E153:F153" si="34">SUM(E154)</f>
        <v>191076</v>
      </c>
      <c r="F153" s="473">
        <f t="shared" si="34"/>
        <v>191076</v>
      </c>
      <c r="G153" s="473">
        <f>SUM(G154)</f>
        <v>188698</v>
      </c>
      <c r="H153" s="474">
        <f t="shared" si="32"/>
        <v>0.98755469028030729</v>
      </c>
      <c r="I153" s="473"/>
      <c r="J153" s="473">
        <f t="shared" si="31"/>
        <v>188698</v>
      </c>
      <c r="K153" s="474">
        <f t="shared" si="30"/>
        <v>0.98755469028030729</v>
      </c>
      <c r="L153" s="474"/>
    </row>
    <row r="154" spans="1:12" s="842" customFormat="1" ht="15.75" thickBot="1">
      <c r="A154" s="2619"/>
      <c r="B154" s="951">
        <v>73095</v>
      </c>
      <c r="C154" s="475" t="s">
        <v>239</v>
      </c>
      <c r="D154" s="399"/>
      <c r="E154" s="392">
        <f>SUM(E155,E159)</f>
        <v>191076</v>
      </c>
      <c r="F154" s="392">
        <f>SUM(F155,F159)</f>
        <v>191076</v>
      </c>
      <c r="G154" s="392">
        <f>SUM(G155,G159)</f>
        <v>188698</v>
      </c>
      <c r="H154" s="393">
        <f t="shared" si="32"/>
        <v>0.98755469028030729</v>
      </c>
      <c r="I154" s="392"/>
      <c r="J154" s="392">
        <f t="shared" si="31"/>
        <v>188698</v>
      </c>
      <c r="K154" s="393">
        <f t="shared" si="30"/>
        <v>0.98755469028030729</v>
      </c>
      <c r="L154" s="393"/>
    </row>
    <row r="155" spans="1:12" s="842" customFormat="1">
      <c r="A155" s="2619"/>
      <c r="B155" s="2576" t="s">
        <v>219</v>
      </c>
      <c r="C155" s="2577"/>
      <c r="D155" s="952"/>
      <c r="E155" s="394">
        <f>SUM(E156:E158)</f>
        <v>191076</v>
      </c>
      <c r="F155" s="394">
        <f>SUM(F156:F158)</f>
        <v>191076</v>
      </c>
      <c r="G155" s="394">
        <f>SUM(G156:G158)</f>
        <v>188698</v>
      </c>
      <c r="H155" s="395">
        <f t="shared" si="32"/>
        <v>0.98755469028030729</v>
      </c>
      <c r="I155" s="394"/>
      <c r="J155" s="394">
        <f t="shared" si="31"/>
        <v>188698</v>
      </c>
      <c r="K155" s="395">
        <f t="shared" si="30"/>
        <v>0.98755469028030729</v>
      </c>
      <c r="L155" s="395"/>
    </row>
    <row r="156" spans="1:12" s="842" customFormat="1" ht="51.75" hidden="1" customHeight="1" thickBot="1">
      <c r="A156" s="2619"/>
      <c r="B156" s="2566"/>
      <c r="C156" s="1091" t="s">
        <v>308</v>
      </c>
      <c r="D156" s="1092" t="s">
        <v>309</v>
      </c>
      <c r="E156" s="935">
        <v>0</v>
      </c>
      <c r="F156" s="935">
        <v>0</v>
      </c>
      <c r="G156" s="939"/>
      <c r="H156" s="938" t="e">
        <f t="shared" si="32"/>
        <v>#DIV/0!</v>
      </c>
      <c r="I156" s="939"/>
      <c r="J156" s="939">
        <f t="shared" si="31"/>
        <v>0</v>
      </c>
      <c r="K156" s="940" t="e">
        <f t="shared" si="30"/>
        <v>#DIV/0!</v>
      </c>
      <c r="L156" s="938"/>
    </row>
    <row r="157" spans="1:12" s="842" customFormat="1" ht="51">
      <c r="A157" s="2619"/>
      <c r="B157" s="2567"/>
      <c r="C157" s="1093" t="s">
        <v>310</v>
      </c>
      <c r="D157" s="1094" t="s">
        <v>311</v>
      </c>
      <c r="E157" s="935">
        <v>40539</v>
      </c>
      <c r="F157" s="935">
        <v>40539</v>
      </c>
      <c r="G157" s="939">
        <v>140506</v>
      </c>
      <c r="H157" s="938">
        <f t="shared" si="32"/>
        <v>3.4659463726288267</v>
      </c>
      <c r="I157" s="939"/>
      <c r="J157" s="939">
        <f t="shared" si="31"/>
        <v>140506</v>
      </c>
      <c r="K157" s="940">
        <f t="shared" si="30"/>
        <v>3.4659463726288267</v>
      </c>
      <c r="L157" s="938"/>
    </row>
    <row r="158" spans="1:12" s="842" customFormat="1" ht="51" customHeight="1">
      <c r="A158" s="2619"/>
      <c r="B158" s="2579"/>
      <c r="C158" s="1093" t="s">
        <v>312</v>
      </c>
      <c r="D158" s="1095">
        <v>2058</v>
      </c>
      <c r="E158" s="939">
        <v>150537</v>
      </c>
      <c r="F158" s="939">
        <v>150537</v>
      </c>
      <c r="G158" s="939">
        <v>48192</v>
      </c>
      <c r="H158" s="940">
        <f t="shared" si="32"/>
        <v>0.3201339205643795</v>
      </c>
      <c r="I158" s="939"/>
      <c r="J158" s="939">
        <f t="shared" si="31"/>
        <v>48192</v>
      </c>
      <c r="K158" s="940">
        <f t="shared" si="30"/>
        <v>0.3201339205643795</v>
      </c>
      <c r="L158" s="940"/>
    </row>
    <row r="159" spans="1:12" s="842" customFormat="1" ht="15.75" thickBot="1">
      <c r="A159" s="2619"/>
      <c r="B159" s="2620" t="s">
        <v>223</v>
      </c>
      <c r="C159" s="2563"/>
      <c r="D159" s="1015"/>
      <c r="E159" s="431">
        <v>0</v>
      </c>
      <c r="F159" s="431">
        <v>0</v>
      </c>
      <c r="G159" s="431">
        <v>0</v>
      </c>
      <c r="H159" s="432"/>
      <c r="I159" s="431"/>
      <c r="J159" s="431">
        <f t="shared" si="31"/>
        <v>0</v>
      </c>
      <c r="K159" s="432"/>
      <c r="L159" s="432"/>
    </row>
    <row r="160" spans="1:12" s="842" customFormat="1" ht="15.75" thickBot="1">
      <c r="A160" s="1088">
        <v>750</v>
      </c>
      <c r="B160" s="1089"/>
      <c r="C160" s="472" t="s">
        <v>18</v>
      </c>
      <c r="D160" s="1090"/>
      <c r="E160" s="387">
        <f>SUM(E161,E166,E174,E179,E194,E198,E189)</f>
        <v>5125879</v>
      </c>
      <c r="F160" s="387">
        <f>SUM(F161,F166,F174,F179,F194,F198,F189)</f>
        <v>9595177</v>
      </c>
      <c r="G160" s="387">
        <f>SUM(G161,G166,G174,G179,G194,G198,G189)</f>
        <v>5561952</v>
      </c>
      <c r="H160" s="388">
        <f t="shared" si="32"/>
        <v>0.57966121938136217</v>
      </c>
      <c r="I160" s="387">
        <f>I161+I166+I198</f>
        <v>28874</v>
      </c>
      <c r="J160" s="387">
        <f t="shared" si="31"/>
        <v>5590826</v>
      </c>
      <c r="K160" s="388">
        <f t="shared" si="30"/>
        <v>0.58267043953436193</v>
      </c>
      <c r="L160" s="388"/>
    </row>
    <row r="161" spans="1:12" s="842" customFormat="1" ht="15.75" thickBot="1">
      <c r="A161" s="2625"/>
      <c r="B161" s="951">
        <v>75011</v>
      </c>
      <c r="C161" s="475" t="s">
        <v>313</v>
      </c>
      <c r="D161" s="399"/>
      <c r="E161" s="392">
        <f>SUM(E162,E165)</f>
        <v>147158</v>
      </c>
      <c r="F161" s="392">
        <f>SUM(F162,F165)</f>
        <v>147158</v>
      </c>
      <c r="G161" s="392">
        <f>SUM(G162,G165)</f>
        <v>147263</v>
      </c>
      <c r="H161" s="393">
        <f t="shared" si="32"/>
        <v>1.0007135188029193</v>
      </c>
      <c r="I161" s="392">
        <f>I162</f>
        <v>8000</v>
      </c>
      <c r="J161" s="392">
        <f t="shared" si="31"/>
        <v>155263</v>
      </c>
      <c r="K161" s="393">
        <f t="shared" si="30"/>
        <v>1.0550768561682002</v>
      </c>
      <c r="L161" s="393"/>
    </row>
    <row r="162" spans="1:12" s="842" customFormat="1">
      <c r="A162" s="2625"/>
      <c r="B162" s="2564" t="s">
        <v>219</v>
      </c>
      <c r="C162" s="2565"/>
      <c r="D162" s="1096"/>
      <c r="E162" s="394">
        <f>SUM(E163:E164)</f>
        <v>147158</v>
      </c>
      <c r="F162" s="394">
        <f>SUM(F163:F164)</f>
        <v>147158</v>
      </c>
      <c r="G162" s="394">
        <f>SUM(G163:G164)</f>
        <v>147263</v>
      </c>
      <c r="H162" s="395">
        <f t="shared" si="32"/>
        <v>1.0007135188029193</v>
      </c>
      <c r="I162" s="394">
        <f>I163</f>
        <v>8000</v>
      </c>
      <c r="J162" s="394">
        <f t="shared" si="31"/>
        <v>155263</v>
      </c>
      <c r="K162" s="395">
        <f t="shared" si="30"/>
        <v>1.0550768561682002</v>
      </c>
      <c r="L162" s="395"/>
    </row>
    <row r="163" spans="1:12" s="842" customFormat="1" ht="38.25">
      <c r="A163" s="2625"/>
      <c r="B163" s="2626"/>
      <c r="C163" s="1093" t="s">
        <v>314</v>
      </c>
      <c r="D163" s="1095">
        <v>2210</v>
      </c>
      <c r="E163" s="939">
        <v>147000</v>
      </c>
      <c r="F163" s="939">
        <v>147000</v>
      </c>
      <c r="G163" s="939">
        <v>147000</v>
      </c>
      <c r="H163" s="940">
        <f t="shared" si="32"/>
        <v>1</v>
      </c>
      <c r="I163" s="939">
        <v>8000</v>
      </c>
      <c r="J163" s="939">
        <f t="shared" si="31"/>
        <v>155000</v>
      </c>
      <c r="K163" s="940">
        <f t="shared" si="30"/>
        <v>1.0544217687074831</v>
      </c>
      <c r="L163" s="1045" t="s">
        <v>971</v>
      </c>
    </row>
    <row r="164" spans="1:12" s="842" customFormat="1" ht="44.25" customHeight="1">
      <c r="A164" s="2625"/>
      <c r="B164" s="2627"/>
      <c r="C164" s="463" t="s">
        <v>228</v>
      </c>
      <c r="D164" s="1097">
        <v>2360</v>
      </c>
      <c r="E164" s="962">
        <v>158</v>
      </c>
      <c r="F164" s="962">
        <v>158</v>
      </c>
      <c r="G164" s="962">
        <v>263</v>
      </c>
      <c r="H164" s="1033">
        <f t="shared" si="32"/>
        <v>1.6645569620253164</v>
      </c>
      <c r="I164" s="962"/>
      <c r="J164" s="962">
        <f t="shared" si="31"/>
        <v>263</v>
      </c>
      <c r="K164" s="1033">
        <f t="shared" si="30"/>
        <v>1.6645569620253164</v>
      </c>
      <c r="L164" s="1033"/>
    </row>
    <row r="165" spans="1:12" s="842" customFormat="1" ht="15.75" thickBot="1">
      <c r="A165" s="2625"/>
      <c r="B165" s="2544" t="s">
        <v>223</v>
      </c>
      <c r="C165" s="2545"/>
      <c r="D165" s="908"/>
      <c r="E165" s="836">
        <v>0</v>
      </c>
      <c r="F165" s="836">
        <v>0</v>
      </c>
      <c r="G165" s="836">
        <v>0</v>
      </c>
      <c r="H165" s="837"/>
      <c r="I165" s="836"/>
      <c r="J165" s="836">
        <f t="shared" si="31"/>
        <v>0</v>
      </c>
      <c r="K165" s="837"/>
      <c r="L165" s="837"/>
    </row>
    <row r="166" spans="1:12" s="842" customFormat="1" ht="15.75" thickBot="1">
      <c r="A166" s="2573"/>
      <c r="B166" s="978">
        <v>75018</v>
      </c>
      <c r="C166" s="408" t="s">
        <v>315</v>
      </c>
      <c r="D166" s="399"/>
      <c r="E166" s="416">
        <f>SUM(E167,E173)</f>
        <v>214000</v>
      </c>
      <c r="F166" s="416">
        <f>SUM(F167,F173)</f>
        <v>214000</v>
      </c>
      <c r="G166" s="416">
        <f>SUM(G167,G173)</f>
        <v>314000</v>
      </c>
      <c r="H166" s="417">
        <f t="shared" si="32"/>
        <v>1.4672897196261683</v>
      </c>
      <c r="I166" s="416">
        <f>I167</f>
        <v>3000</v>
      </c>
      <c r="J166" s="416">
        <f t="shared" si="31"/>
        <v>317000</v>
      </c>
      <c r="K166" s="417">
        <f t="shared" si="30"/>
        <v>1.4813084112149533</v>
      </c>
      <c r="L166" s="417"/>
    </row>
    <row r="167" spans="1:12" s="842" customFormat="1">
      <c r="A167" s="2573"/>
      <c r="B167" s="2570" t="s">
        <v>219</v>
      </c>
      <c r="C167" s="2565"/>
      <c r="D167" s="1096"/>
      <c r="E167" s="461">
        <f>SUM(E168:E172)</f>
        <v>214000</v>
      </c>
      <c r="F167" s="461">
        <f>SUM(F168:F172)</f>
        <v>214000</v>
      </c>
      <c r="G167" s="461">
        <f>SUM(G168:G172)</f>
        <v>314000</v>
      </c>
      <c r="H167" s="462">
        <f t="shared" si="32"/>
        <v>1.4672897196261683</v>
      </c>
      <c r="I167" s="461">
        <f>I172</f>
        <v>3000</v>
      </c>
      <c r="J167" s="461">
        <f t="shared" si="31"/>
        <v>317000</v>
      </c>
      <c r="K167" s="462">
        <f t="shared" si="30"/>
        <v>1.4813084112149533</v>
      </c>
      <c r="L167" s="462"/>
    </row>
    <row r="168" spans="1:12" s="842" customFormat="1" ht="21.75" customHeight="1">
      <c r="A168" s="2573"/>
      <c r="B168" s="2567"/>
      <c r="C168" s="2628" t="s">
        <v>316</v>
      </c>
      <c r="D168" s="1017" t="s">
        <v>259</v>
      </c>
      <c r="E168" s="406">
        <v>50000</v>
      </c>
      <c r="F168" s="406">
        <v>50000</v>
      </c>
      <c r="G168" s="406">
        <v>100000</v>
      </c>
      <c r="H168" s="407">
        <f t="shared" si="32"/>
        <v>2</v>
      </c>
      <c r="I168" s="406"/>
      <c r="J168" s="406">
        <f t="shared" si="31"/>
        <v>100000</v>
      </c>
      <c r="K168" s="407">
        <f t="shared" si="30"/>
        <v>2</v>
      </c>
      <c r="L168" s="407"/>
    </row>
    <row r="169" spans="1:12" s="842" customFormat="1" ht="20.25" customHeight="1">
      <c r="A169" s="2573"/>
      <c r="B169" s="2567"/>
      <c r="C169" s="2628"/>
      <c r="D169" s="1017" t="s">
        <v>221</v>
      </c>
      <c r="E169" s="939">
        <v>20000</v>
      </c>
      <c r="F169" s="939">
        <v>20000</v>
      </c>
      <c r="G169" s="939">
        <v>40000</v>
      </c>
      <c r="H169" s="940">
        <f t="shared" si="32"/>
        <v>2</v>
      </c>
      <c r="I169" s="939"/>
      <c r="J169" s="939">
        <f t="shared" si="31"/>
        <v>40000</v>
      </c>
      <c r="K169" s="940">
        <f t="shared" si="30"/>
        <v>2</v>
      </c>
      <c r="L169" s="940"/>
    </row>
    <row r="170" spans="1:12" s="842" customFormat="1" ht="18" customHeight="1">
      <c r="A170" s="2573"/>
      <c r="B170" s="2567"/>
      <c r="C170" s="2628"/>
      <c r="D170" s="1017" t="s">
        <v>226</v>
      </c>
      <c r="E170" s="939">
        <v>50000</v>
      </c>
      <c r="F170" s="939">
        <v>50000</v>
      </c>
      <c r="G170" s="939">
        <v>80000</v>
      </c>
      <c r="H170" s="940">
        <f t="shared" si="32"/>
        <v>1.6</v>
      </c>
      <c r="I170" s="939"/>
      <c r="J170" s="939">
        <f t="shared" si="31"/>
        <v>80000</v>
      </c>
      <c r="K170" s="940">
        <f t="shared" si="30"/>
        <v>1.6</v>
      </c>
      <c r="L170" s="940"/>
    </row>
    <row r="171" spans="1:12" s="842" customFormat="1" ht="18.75" customHeight="1">
      <c r="A171" s="2573"/>
      <c r="B171" s="2567"/>
      <c r="C171" s="2629"/>
      <c r="D171" s="1017" t="s">
        <v>222</v>
      </c>
      <c r="E171" s="939">
        <v>20000</v>
      </c>
      <c r="F171" s="939">
        <v>20000</v>
      </c>
      <c r="G171" s="939">
        <v>20000</v>
      </c>
      <c r="H171" s="940">
        <f t="shared" si="32"/>
        <v>1</v>
      </c>
      <c r="I171" s="939"/>
      <c r="J171" s="939">
        <f t="shared" si="31"/>
        <v>20000</v>
      </c>
      <c r="K171" s="940">
        <f t="shared" si="30"/>
        <v>1</v>
      </c>
      <c r="L171" s="940"/>
    </row>
    <row r="172" spans="1:12" s="842" customFormat="1" ht="27" customHeight="1">
      <c r="A172" s="2573"/>
      <c r="B172" s="2579"/>
      <c r="C172" s="1098" t="s">
        <v>317</v>
      </c>
      <c r="D172" s="1017" t="s">
        <v>273</v>
      </c>
      <c r="E172" s="939">
        <v>74000</v>
      </c>
      <c r="F172" s="939">
        <v>74000</v>
      </c>
      <c r="G172" s="939">
        <v>74000</v>
      </c>
      <c r="H172" s="940">
        <f t="shared" si="32"/>
        <v>1</v>
      </c>
      <c r="I172" s="939">
        <v>3000</v>
      </c>
      <c r="J172" s="939">
        <f t="shared" si="31"/>
        <v>77000</v>
      </c>
      <c r="K172" s="940">
        <f t="shared" si="30"/>
        <v>1.0405405405405406</v>
      </c>
      <c r="L172" s="1045" t="s">
        <v>971</v>
      </c>
    </row>
    <row r="173" spans="1:12" s="842" customFormat="1" ht="15.75" thickBot="1">
      <c r="A173" s="2573"/>
      <c r="B173" s="2580" t="s">
        <v>223</v>
      </c>
      <c r="C173" s="2571"/>
      <c r="D173" s="1023"/>
      <c r="E173" s="966">
        <v>0</v>
      </c>
      <c r="F173" s="966">
        <v>0</v>
      </c>
      <c r="G173" s="966">
        <v>0</v>
      </c>
      <c r="H173" s="968"/>
      <c r="I173" s="966"/>
      <c r="J173" s="966">
        <f t="shared" si="31"/>
        <v>0</v>
      </c>
      <c r="K173" s="968"/>
      <c r="L173" s="863"/>
    </row>
    <row r="174" spans="1:12" s="842" customFormat="1" ht="15.75" thickBot="1">
      <c r="A174" s="2573"/>
      <c r="B174" s="951">
        <v>75046</v>
      </c>
      <c r="C174" s="408" t="s">
        <v>318</v>
      </c>
      <c r="D174" s="399"/>
      <c r="E174" s="392">
        <f t="shared" ref="E174:G174" si="35">SUM(E175,E178)</f>
        <v>21053</v>
      </c>
      <c r="F174" s="392">
        <f t="shared" si="35"/>
        <v>21053</v>
      </c>
      <c r="G174" s="392">
        <f t="shared" si="35"/>
        <v>21053</v>
      </c>
      <c r="H174" s="393">
        <f t="shared" si="32"/>
        <v>1</v>
      </c>
      <c r="I174" s="392"/>
      <c r="J174" s="392">
        <f t="shared" si="31"/>
        <v>21053</v>
      </c>
      <c r="K174" s="393">
        <f t="shared" si="30"/>
        <v>1</v>
      </c>
      <c r="L174" s="393"/>
    </row>
    <row r="175" spans="1:12" s="842" customFormat="1">
      <c r="A175" s="2573"/>
      <c r="B175" s="2564" t="s">
        <v>219</v>
      </c>
      <c r="C175" s="2565"/>
      <c r="D175" s="1096"/>
      <c r="E175" s="394">
        <f>SUM(E176:E177)</f>
        <v>21053</v>
      </c>
      <c r="F175" s="394">
        <f>SUM(F176:F177)</f>
        <v>21053</v>
      </c>
      <c r="G175" s="394">
        <f>SUM(G176:G177)</f>
        <v>21053</v>
      </c>
      <c r="H175" s="395">
        <f t="shared" si="32"/>
        <v>1</v>
      </c>
      <c r="I175" s="394"/>
      <c r="J175" s="394">
        <f t="shared" si="31"/>
        <v>21053</v>
      </c>
      <c r="K175" s="395">
        <f t="shared" si="30"/>
        <v>1</v>
      </c>
      <c r="L175" s="395"/>
    </row>
    <row r="176" spans="1:12" s="842" customFormat="1" ht="38.25">
      <c r="A176" s="2573"/>
      <c r="B176" s="2632"/>
      <c r="C176" s="1093" t="s">
        <v>227</v>
      </c>
      <c r="D176" s="1095">
        <v>2210</v>
      </c>
      <c r="E176" s="939">
        <v>20000</v>
      </c>
      <c r="F176" s="939">
        <v>20000</v>
      </c>
      <c r="G176" s="939">
        <v>20000</v>
      </c>
      <c r="H176" s="940">
        <f t="shared" si="32"/>
        <v>1</v>
      </c>
      <c r="I176" s="939"/>
      <c r="J176" s="939">
        <f t="shared" si="31"/>
        <v>20000</v>
      </c>
      <c r="K176" s="940">
        <f t="shared" si="30"/>
        <v>1</v>
      </c>
      <c r="L176" s="1045" t="s">
        <v>971</v>
      </c>
    </row>
    <row r="177" spans="1:12" s="842" customFormat="1" ht="38.25">
      <c r="A177" s="2573"/>
      <c r="B177" s="2633"/>
      <c r="C177" s="463" t="s">
        <v>228</v>
      </c>
      <c r="D177" s="1097">
        <v>2360</v>
      </c>
      <c r="E177" s="939">
        <v>1053</v>
      </c>
      <c r="F177" s="939">
        <v>1053</v>
      </c>
      <c r="G177" s="939">
        <v>1053</v>
      </c>
      <c r="H177" s="940">
        <f t="shared" si="32"/>
        <v>1</v>
      </c>
      <c r="I177" s="939"/>
      <c r="J177" s="939">
        <f t="shared" si="31"/>
        <v>1053</v>
      </c>
      <c r="K177" s="940">
        <f t="shared" si="30"/>
        <v>1</v>
      </c>
      <c r="L177" s="940"/>
    </row>
    <row r="178" spans="1:12" s="842" customFormat="1" ht="15.75" thickBot="1">
      <c r="A178" s="2573"/>
      <c r="B178" s="2562" t="s">
        <v>223</v>
      </c>
      <c r="C178" s="2563"/>
      <c r="D178" s="1015"/>
      <c r="E178" s="397">
        <v>0</v>
      </c>
      <c r="F178" s="397">
        <v>0</v>
      </c>
      <c r="G178" s="397">
        <v>0</v>
      </c>
      <c r="H178" s="398"/>
      <c r="I178" s="397"/>
      <c r="J178" s="397">
        <f t="shared" si="31"/>
        <v>0</v>
      </c>
      <c r="K178" s="398"/>
      <c r="L178" s="398"/>
    </row>
    <row r="179" spans="1:12" s="842" customFormat="1" ht="15.75" thickBot="1">
      <c r="A179" s="1099"/>
      <c r="B179" s="1100">
        <v>75075</v>
      </c>
      <c r="C179" s="477" t="s">
        <v>6</v>
      </c>
      <c r="D179" s="1101"/>
      <c r="E179" s="392">
        <f>SUM(E188,E180)</f>
        <v>485202</v>
      </c>
      <c r="F179" s="392">
        <f>SUM(F188,F180)</f>
        <v>485227</v>
      </c>
      <c r="G179" s="392">
        <f>SUM(G188,G180)</f>
        <v>516208</v>
      </c>
      <c r="H179" s="393">
        <f t="shared" si="32"/>
        <v>1.0638484668000749</v>
      </c>
      <c r="I179" s="392"/>
      <c r="J179" s="392">
        <f t="shared" si="31"/>
        <v>516208</v>
      </c>
      <c r="K179" s="393">
        <f t="shared" si="30"/>
        <v>1.0638484668000749</v>
      </c>
      <c r="L179" s="393"/>
    </row>
    <row r="180" spans="1:12" s="842" customFormat="1">
      <c r="A180" s="1099"/>
      <c r="B180" s="2576" t="s">
        <v>219</v>
      </c>
      <c r="C180" s="2634"/>
      <c r="D180" s="1102"/>
      <c r="E180" s="394">
        <f>SUM(E181:E187)</f>
        <v>485202</v>
      </c>
      <c r="F180" s="394">
        <f t="shared" ref="F180:G180" si="36">SUM(F181:F187)</f>
        <v>485227</v>
      </c>
      <c r="G180" s="394">
        <f t="shared" si="36"/>
        <v>516208</v>
      </c>
      <c r="H180" s="395">
        <f t="shared" si="32"/>
        <v>1.0638484668000749</v>
      </c>
      <c r="I180" s="394"/>
      <c r="J180" s="394">
        <f t="shared" si="31"/>
        <v>516208</v>
      </c>
      <c r="K180" s="395">
        <f t="shared" si="30"/>
        <v>1.0638484668000749</v>
      </c>
      <c r="L180" s="395"/>
    </row>
    <row r="181" spans="1:12" s="842" customFormat="1" ht="51.75" hidden="1">
      <c r="A181" s="1103"/>
      <c r="B181" s="458"/>
      <c r="C181" s="1104" t="s">
        <v>993</v>
      </c>
      <c r="D181" s="1105" t="s">
        <v>309</v>
      </c>
      <c r="E181" s="1005">
        <v>0</v>
      </c>
      <c r="F181" s="939">
        <v>25</v>
      </c>
      <c r="G181" s="1106">
        <v>0</v>
      </c>
      <c r="H181" s="940">
        <f t="shared" si="32"/>
        <v>0</v>
      </c>
      <c r="I181" s="1005"/>
      <c r="J181" s="939">
        <f t="shared" si="31"/>
        <v>0</v>
      </c>
      <c r="K181" s="940">
        <f t="shared" si="30"/>
        <v>0</v>
      </c>
      <c r="L181" s="1107"/>
    </row>
    <row r="182" spans="1:12" s="984" customFormat="1" ht="55.5" customHeight="1">
      <c r="A182" s="1108"/>
      <c r="B182" s="2567"/>
      <c r="C182" s="1109" t="s">
        <v>319</v>
      </c>
      <c r="D182" s="2635" t="s">
        <v>311</v>
      </c>
      <c r="E182" s="976">
        <v>485202</v>
      </c>
      <c r="F182" s="976">
        <v>485202</v>
      </c>
      <c r="G182" s="962">
        <v>278828</v>
      </c>
      <c r="H182" s="938">
        <f t="shared" si="32"/>
        <v>0.57466374829452471</v>
      </c>
      <c r="I182" s="962"/>
      <c r="J182" s="962">
        <f t="shared" si="31"/>
        <v>278828</v>
      </c>
      <c r="K182" s="407">
        <f t="shared" si="30"/>
        <v>0.57466374829452471</v>
      </c>
      <c r="L182" s="1110"/>
    </row>
    <row r="183" spans="1:12" s="984" customFormat="1" ht="53.25" hidden="1" customHeight="1">
      <c r="A183" s="1108"/>
      <c r="B183" s="2567"/>
      <c r="C183" s="846" t="s">
        <v>320</v>
      </c>
      <c r="D183" s="2636"/>
      <c r="E183" s="1111"/>
      <c r="F183" s="1111"/>
      <c r="G183" s="1111"/>
      <c r="H183" s="977" t="e">
        <f t="shared" si="32"/>
        <v>#DIV/0!</v>
      </c>
      <c r="I183" s="1111"/>
      <c r="J183" s="1111">
        <f t="shared" si="31"/>
        <v>0</v>
      </c>
      <c r="K183" s="977" t="e">
        <f t="shared" si="30"/>
        <v>#DIV/0!</v>
      </c>
      <c r="L183" s="977"/>
    </row>
    <row r="184" spans="1:12" s="984" customFormat="1" ht="54" hidden="1" customHeight="1">
      <c r="A184" s="1108"/>
      <c r="B184" s="2567"/>
      <c r="C184" s="846" t="s">
        <v>321</v>
      </c>
      <c r="D184" s="2636"/>
      <c r="E184" s="1111"/>
      <c r="F184" s="1111"/>
      <c r="G184" s="1111"/>
      <c r="H184" s="977" t="e">
        <f t="shared" si="32"/>
        <v>#DIV/0!</v>
      </c>
      <c r="I184" s="1111"/>
      <c r="J184" s="1111">
        <f t="shared" si="31"/>
        <v>0</v>
      </c>
      <c r="K184" s="977" t="e">
        <f t="shared" si="30"/>
        <v>#DIV/0!</v>
      </c>
      <c r="L184" s="977"/>
    </row>
    <row r="185" spans="1:12" s="984" customFormat="1" ht="67.5" customHeight="1">
      <c r="A185" s="1108"/>
      <c r="B185" s="2567"/>
      <c r="C185" s="1109" t="s">
        <v>994</v>
      </c>
      <c r="D185" s="2637"/>
      <c r="E185" s="935">
        <v>0</v>
      </c>
      <c r="F185" s="935">
        <v>0</v>
      </c>
      <c r="G185" s="935">
        <v>237380</v>
      </c>
      <c r="H185" s="938"/>
      <c r="I185" s="935"/>
      <c r="J185" s="935">
        <f t="shared" si="31"/>
        <v>237380</v>
      </c>
      <c r="K185" s="1112"/>
      <c r="L185" s="1112"/>
    </row>
    <row r="186" spans="1:12" s="984" customFormat="1" ht="53.25" hidden="1" customHeight="1">
      <c r="A186" s="1108"/>
      <c r="B186" s="2567"/>
      <c r="C186" s="846" t="s">
        <v>322</v>
      </c>
      <c r="D186" s="2638" t="s">
        <v>303</v>
      </c>
      <c r="E186" s="1111"/>
      <c r="F186" s="1111"/>
      <c r="G186" s="1111"/>
      <c r="H186" s="977" t="e">
        <f t="shared" si="32"/>
        <v>#DIV/0!</v>
      </c>
      <c r="I186" s="1111"/>
      <c r="J186" s="1111">
        <f t="shared" si="31"/>
        <v>0</v>
      </c>
      <c r="K186" s="977" t="e">
        <f t="shared" si="30"/>
        <v>#DIV/0!</v>
      </c>
      <c r="L186" s="977"/>
    </row>
    <row r="187" spans="1:12" s="984" customFormat="1" ht="57" hidden="1" customHeight="1">
      <c r="A187" s="1108"/>
      <c r="B187" s="2567"/>
      <c r="C187" s="846" t="s">
        <v>323</v>
      </c>
      <c r="D187" s="2639"/>
      <c r="E187" s="1111"/>
      <c r="F187" s="1111"/>
      <c r="G187" s="1111"/>
      <c r="H187" s="977" t="e">
        <f t="shared" si="32"/>
        <v>#DIV/0!</v>
      </c>
      <c r="I187" s="1111"/>
      <c r="J187" s="1111">
        <f t="shared" si="31"/>
        <v>0</v>
      </c>
      <c r="K187" s="977" t="e">
        <f t="shared" si="30"/>
        <v>#DIV/0!</v>
      </c>
      <c r="L187" s="977"/>
    </row>
    <row r="188" spans="1:12" s="842" customFormat="1" ht="15.75" thickBot="1">
      <c r="A188" s="1099"/>
      <c r="B188" s="2646" t="s">
        <v>223</v>
      </c>
      <c r="C188" s="2647"/>
      <c r="D188" s="1113"/>
      <c r="E188" s="1114">
        <v>0</v>
      </c>
      <c r="F188" s="1114">
        <v>0</v>
      </c>
      <c r="G188" s="1114">
        <v>0</v>
      </c>
      <c r="H188" s="1115"/>
      <c r="I188" s="1114"/>
      <c r="J188" s="1114">
        <f t="shared" si="31"/>
        <v>0</v>
      </c>
      <c r="K188" s="1115"/>
      <c r="L188" s="1115"/>
    </row>
    <row r="189" spans="1:12" s="1117" customFormat="1" ht="15.75" hidden="1" thickBot="1">
      <c r="A189" s="735"/>
      <c r="B189" s="476">
        <v>75079</v>
      </c>
      <c r="C189" s="1116" t="s">
        <v>324</v>
      </c>
      <c r="D189" s="478"/>
      <c r="E189" s="898">
        <f>E190+E192</f>
        <v>0</v>
      </c>
      <c r="F189" s="898">
        <f t="shared" ref="F189:G189" si="37">F190+F192</f>
        <v>343148</v>
      </c>
      <c r="G189" s="898">
        <f t="shared" si="37"/>
        <v>0</v>
      </c>
      <c r="H189" s="899">
        <f t="shared" si="32"/>
        <v>0</v>
      </c>
      <c r="I189" s="898"/>
      <c r="J189" s="898">
        <f t="shared" si="31"/>
        <v>0</v>
      </c>
      <c r="K189" s="899">
        <f t="shared" si="30"/>
        <v>0</v>
      </c>
      <c r="L189" s="899"/>
    </row>
    <row r="190" spans="1:12" s="1117" customFormat="1" ht="15.75" hidden="1" thickBot="1">
      <c r="A190" s="735"/>
      <c r="B190" s="2515" t="s">
        <v>219</v>
      </c>
      <c r="C190" s="2589"/>
      <c r="D190" s="912"/>
      <c r="E190" s="953">
        <f>E191</f>
        <v>0</v>
      </c>
      <c r="F190" s="953">
        <f t="shared" ref="F190:G190" si="38">F191</f>
        <v>239148</v>
      </c>
      <c r="G190" s="953">
        <f t="shared" si="38"/>
        <v>0</v>
      </c>
      <c r="H190" s="954">
        <f t="shared" si="32"/>
        <v>0</v>
      </c>
      <c r="I190" s="953"/>
      <c r="J190" s="953">
        <f t="shared" si="31"/>
        <v>0</v>
      </c>
      <c r="K190" s="954">
        <f t="shared" si="30"/>
        <v>0</v>
      </c>
      <c r="L190" s="954"/>
    </row>
    <row r="191" spans="1:12" s="1117" customFormat="1" ht="39" hidden="1" thickBot="1">
      <c r="A191" s="735"/>
      <c r="B191" s="1118"/>
      <c r="C191" s="1119" t="s">
        <v>325</v>
      </c>
      <c r="D191" s="870">
        <v>2220</v>
      </c>
      <c r="E191" s="971">
        <v>0</v>
      </c>
      <c r="F191" s="971">
        <v>239148</v>
      </c>
      <c r="G191" s="971">
        <v>0</v>
      </c>
      <c r="H191" s="972">
        <f t="shared" si="32"/>
        <v>0</v>
      </c>
      <c r="I191" s="971"/>
      <c r="J191" s="971">
        <f t="shared" si="31"/>
        <v>0</v>
      </c>
      <c r="K191" s="972">
        <f t="shared" si="30"/>
        <v>0</v>
      </c>
      <c r="L191" s="972"/>
    </row>
    <row r="192" spans="1:12" s="1117" customFormat="1" ht="15.75" hidden="1" thickBot="1">
      <c r="A192" s="735"/>
      <c r="B192" s="2648" t="s">
        <v>229</v>
      </c>
      <c r="C192" s="2649"/>
      <c r="D192" s="409"/>
      <c r="E192" s="1076">
        <f>E193</f>
        <v>0</v>
      </c>
      <c r="F192" s="1076">
        <f t="shared" ref="F192:G192" si="39">F193</f>
        <v>104000</v>
      </c>
      <c r="G192" s="1076">
        <f t="shared" si="39"/>
        <v>0</v>
      </c>
      <c r="H192" s="1077">
        <f t="shared" si="32"/>
        <v>0</v>
      </c>
      <c r="I192" s="1076"/>
      <c r="J192" s="1076">
        <f t="shared" si="31"/>
        <v>0</v>
      </c>
      <c r="K192" s="1077">
        <f t="shared" si="30"/>
        <v>0</v>
      </c>
      <c r="L192" s="1077"/>
    </row>
    <row r="193" spans="1:12" s="1117" customFormat="1" ht="39" hidden="1" thickBot="1">
      <c r="A193" s="735"/>
      <c r="B193" s="479"/>
      <c r="C193" s="1120" t="s">
        <v>326</v>
      </c>
      <c r="D193" s="1121">
        <v>6520</v>
      </c>
      <c r="E193" s="1122">
        <v>0</v>
      </c>
      <c r="F193" s="1122">
        <v>104000</v>
      </c>
      <c r="G193" s="1122">
        <v>0</v>
      </c>
      <c r="H193" s="1123">
        <f t="shared" si="32"/>
        <v>0</v>
      </c>
      <c r="I193" s="1122"/>
      <c r="J193" s="1122">
        <f t="shared" si="31"/>
        <v>0</v>
      </c>
      <c r="K193" s="1123">
        <f t="shared" si="30"/>
        <v>0</v>
      </c>
      <c r="L193" s="1123"/>
    </row>
    <row r="194" spans="1:12" s="842" customFormat="1" ht="15.75" thickBot="1">
      <c r="A194" s="1099"/>
      <c r="B194" s="1100">
        <v>75084</v>
      </c>
      <c r="C194" s="481" t="s">
        <v>327</v>
      </c>
      <c r="D194" s="1124"/>
      <c r="E194" s="392">
        <f t="shared" ref="E194:G194" si="40">SUM(E195,E197)</f>
        <v>201000</v>
      </c>
      <c r="F194" s="392">
        <f t="shared" si="40"/>
        <v>201000</v>
      </c>
      <c r="G194" s="392">
        <f t="shared" si="40"/>
        <v>201000</v>
      </c>
      <c r="H194" s="393">
        <f t="shared" si="32"/>
        <v>1</v>
      </c>
      <c r="I194" s="392"/>
      <c r="J194" s="392">
        <f t="shared" si="31"/>
        <v>201000</v>
      </c>
      <c r="K194" s="393">
        <f t="shared" si="30"/>
        <v>1</v>
      </c>
      <c r="L194" s="393"/>
    </row>
    <row r="195" spans="1:12" s="842" customFormat="1" ht="15" customHeight="1">
      <c r="A195" s="1099"/>
      <c r="B195" s="2576" t="s">
        <v>219</v>
      </c>
      <c r="C195" s="2595"/>
      <c r="D195" s="1125"/>
      <c r="E195" s="401">
        <f t="shared" ref="E195:G195" si="41">SUM(E196)</f>
        <v>201000</v>
      </c>
      <c r="F195" s="401">
        <f t="shared" si="41"/>
        <v>201000</v>
      </c>
      <c r="G195" s="401">
        <f t="shared" si="41"/>
        <v>201000</v>
      </c>
      <c r="H195" s="402">
        <f t="shared" si="32"/>
        <v>1</v>
      </c>
      <c r="I195" s="401"/>
      <c r="J195" s="401">
        <f t="shared" si="31"/>
        <v>201000</v>
      </c>
      <c r="K195" s="402">
        <f t="shared" si="30"/>
        <v>1</v>
      </c>
      <c r="L195" s="402"/>
    </row>
    <row r="196" spans="1:12" s="842" customFormat="1" ht="42.75" customHeight="1">
      <c r="A196" s="1099"/>
      <c r="B196" s="1126"/>
      <c r="C196" s="482" t="s">
        <v>227</v>
      </c>
      <c r="D196" s="1127">
        <v>2210</v>
      </c>
      <c r="E196" s="939">
        <v>201000</v>
      </c>
      <c r="F196" s="939">
        <v>201000</v>
      </c>
      <c r="G196" s="939">
        <v>201000</v>
      </c>
      <c r="H196" s="940">
        <f t="shared" si="32"/>
        <v>1</v>
      </c>
      <c r="I196" s="939"/>
      <c r="J196" s="939">
        <f t="shared" si="31"/>
        <v>201000</v>
      </c>
      <c r="K196" s="940">
        <f t="shared" si="30"/>
        <v>1</v>
      </c>
      <c r="L196" s="1045" t="s">
        <v>971</v>
      </c>
    </row>
    <row r="197" spans="1:12" s="842" customFormat="1" ht="15.75" thickBot="1">
      <c r="A197" s="1099"/>
      <c r="B197" s="2650" t="s">
        <v>223</v>
      </c>
      <c r="C197" s="2651"/>
      <c r="D197" s="1128"/>
      <c r="E197" s="397">
        <v>0</v>
      </c>
      <c r="F197" s="397">
        <v>0</v>
      </c>
      <c r="G197" s="397">
        <v>0</v>
      </c>
      <c r="H197" s="398"/>
      <c r="I197" s="397"/>
      <c r="J197" s="397">
        <f t="shared" si="31"/>
        <v>0</v>
      </c>
      <c r="K197" s="398"/>
      <c r="L197" s="398"/>
    </row>
    <row r="198" spans="1:12" s="842" customFormat="1" ht="15.75" thickBot="1">
      <c r="A198" s="2573"/>
      <c r="B198" s="444">
        <v>75095</v>
      </c>
      <c r="C198" s="868" t="s">
        <v>239</v>
      </c>
      <c r="D198" s="400"/>
      <c r="E198" s="898">
        <f>SUM(E199,E220)</f>
        <v>4057466</v>
      </c>
      <c r="F198" s="898">
        <f>SUM(F199,F220)</f>
        <v>8183591</v>
      </c>
      <c r="G198" s="416">
        <f>SUM(G199,G220)</f>
        <v>4362428</v>
      </c>
      <c r="H198" s="417">
        <f t="shared" si="32"/>
        <v>0.53307013999111152</v>
      </c>
      <c r="I198" s="416">
        <f>I199</f>
        <v>17874</v>
      </c>
      <c r="J198" s="416">
        <f t="shared" si="31"/>
        <v>4380302</v>
      </c>
      <c r="K198" s="417">
        <f t="shared" si="30"/>
        <v>0.53525426673938126</v>
      </c>
      <c r="L198" s="1058"/>
    </row>
    <row r="199" spans="1:12" s="842" customFormat="1">
      <c r="A199" s="2573"/>
      <c r="B199" s="2515" t="s">
        <v>219</v>
      </c>
      <c r="C199" s="2618"/>
      <c r="D199" s="439"/>
      <c r="E199" s="953">
        <f>SUM(E200:E219)</f>
        <v>4047466</v>
      </c>
      <c r="F199" s="953">
        <f>SUM(F200:F219)</f>
        <v>7095041</v>
      </c>
      <c r="G199" s="401">
        <f>SUM(G200:G219)</f>
        <v>4362428</v>
      </c>
      <c r="H199" s="402">
        <f t="shared" si="32"/>
        <v>0.61485592542735135</v>
      </c>
      <c r="I199" s="401">
        <f>I218</f>
        <v>17874</v>
      </c>
      <c r="J199" s="401">
        <f t="shared" si="31"/>
        <v>4380302</v>
      </c>
      <c r="K199" s="402">
        <f t="shared" si="30"/>
        <v>0.6173751497701</v>
      </c>
      <c r="L199" s="402"/>
    </row>
    <row r="200" spans="1:12" s="842" customFormat="1" ht="63.75">
      <c r="A200" s="2573"/>
      <c r="B200" s="2630"/>
      <c r="C200" s="1129" t="s">
        <v>995</v>
      </c>
      <c r="D200" s="2640" t="s">
        <v>427</v>
      </c>
      <c r="E200" s="1130">
        <v>0</v>
      </c>
      <c r="F200" s="1130">
        <v>2575156</v>
      </c>
      <c r="G200" s="403">
        <v>1154824</v>
      </c>
      <c r="H200" s="1131">
        <f t="shared" si="32"/>
        <v>0.44844817168357953</v>
      </c>
      <c r="I200" s="403"/>
      <c r="J200" s="403">
        <f t="shared" si="31"/>
        <v>1154824</v>
      </c>
      <c r="K200" s="483">
        <f t="shared" si="30"/>
        <v>0.44844817168357953</v>
      </c>
      <c r="L200" s="405"/>
    </row>
    <row r="201" spans="1:12" s="842" customFormat="1" ht="56.25" customHeight="1">
      <c r="A201" s="2573"/>
      <c r="B201" s="2630"/>
      <c r="C201" s="1132" t="s">
        <v>996</v>
      </c>
      <c r="D201" s="2640"/>
      <c r="E201" s="1130">
        <v>0</v>
      </c>
      <c r="F201" s="1130">
        <v>0</v>
      </c>
      <c r="G201" s="403">
        <v>155637</v>
      </c>
      <c r="H201" s="1133"/>
      <c r="I201" s="403"/>
      <c r="J201" s="403">
        <f t="shared" si="31"/>
        <v>155637</v>
      </c>
      <c r="K201" s="483"/>
      <c r="L201" s="940"/>
    </row>
    <row r="202" spans="1:12" s="842" customFormat="1" ht="43.5" customHeight="1">
      <c r="A202" s="2573"/>
      <c r="B202" s="2630"/>
      <c r="C202" s="1134" t="s">
        <v>328</v>
      </c>
      <c r="D202" s="2641">
        <v>2008</v>
      </c>
      <c r="E202" s="832">
        <v>1785000</v>
      </c>
      <c r="F202" s="832">
        <v>1908766</v>
      </c>
      <c r="G202" s="939">
        <v>1275000</v>
      </c>
      <c r="H202" s="1133">
        <f t="shared" si="32"/>
        <v>0.66797082512995309</v>
      </c>
      <c r="I202" s="939"/>
      <c r="J202" s="939">
        <f t="shared" si="31"/>
        <v>1275000</v>
      </c>
      <c r="K202" s="940">
        <f t="shared" si="30"/>
        <v>0.66797082512995309</v>
      </c>
      <c r="L202" s="940"/>
    </row>
    <row r="203" spans="1:12" s="842" customFormat="1" ht="52.5" hidden="1" customHeight="1">
      <c r="A203" s="2573"/>
      <c r="B203" s="2630"/>
      <c r="C203" s="1134" t="s">
        <v>329</v>
      </c>
      <c r="D203" s="2642"/>
      <c r="E203" s="832">
        <v>690795</v>
      </c>
      <c r="F203" s="832">
        <v>716677</v>
      </c>
      <c r="G203" s="939">
        <v>0</v>
      </c>
      <c r="H203" s="1133">
        <f t="shared" si="32"/>
        <v>0</v>
      </c>
      <c r="I203" s="939"/>
      <c r="J203" s="939">
        <f t="shared" si="31"/>
        <v>0</v>
      </c>
      <c r="K203" s="940">
        <f t="shared" si="30"/>
        <v>0</v>
      </c>
      <c r="L203" s="940"/>
    </row>
    <row r="204" spans="1:12" s="842" customFormat="1" ht="67.5" customHeight="1">
      <c r="A204" s="2573"/>
      <c r="B204" s="2630"/>
      <c r="C204" s="1135" t="s">
        <v>997</v>
      </c>
      <c r="D204" s="2642"/>
      <c r="E204" s="404">
        <v>0</v>
      </c>
      <c r="F204" s="404">
        <v>0</v>
      </c>
      <c r="G204" s="404">
        <v>280190</v>
      </c>
      <c r="H204" s="1131"/>
      <c r="I204" s="404"/>
      <c r="J204" s="404">
        <f t="shared" si="31"/>
        <v>280190</v>
      </c>
      <c r="K204" s="405"/>
      <c r="L204" s="851"/>
    </row>
    <row r="205" spans="1:12" s="842" customFormat="1" ht="40.5" customHeight="1">
      <c r="A205" s="2573"/>
      <c r="B205" s="2630"/>
      <c r="C205" s="1136" t="s">
        <v>330</v>
      </c>
      <c r="D205" s="2641">
        <v>2009</v>
      </c>
      <c r="E205" s="956">
        <v>315000</v>
      </c>
      <c r="F205" s="956">
        <v>336841</v>
      </c>
      <c r="G205" s="404">
        <v>225000</v>
      </c>
      <c r="H205" s="1131">
        <f t="shared" si="32"/>
        <v>0.66797094177965266</v>
      </c>
      <c r="I205" s="404"/>
      <c r="J205" s="404">
        <f t="shared" ref="J205:J268" si="42">G205+I205</f>
        <v>225000</v>
      </c>
      <c r="K205" s="405">
        <f t="shared" ref="K205:K268" si="43">J205/F205</f>
        <v>0.66797094177965266</v>
      </c>
      <c r="L205" s="405"/>
    </row>
    <row r="206" spans="1:12" s="842" customFormat="1" ht="46.5" hidden="1" customHeight="1">
      <c r="A206" s="2573"/>
      <c r="B206" s="2630"/>
      <c r="C206" s="1137" t="s">
        <v>331</v>
      </c>
      <c r="D206" s="2642"/>
      <c r="E206" s="832">
        <v>121905</v>
      </c>
      <c r="F206" s="832">
        <v>126472</v>
      </c>
      <c r="G206" s="939">
        <v>0</v>
      </c>
      <c r="H206" s="1131">
        <f t="shared" ref="H206:H278" si="44">G206/F206</f>
        <v>0</v>
      </c>
      <c r="I206" s="939"/>
      <c r="J206" s="939">
        <f t="shared" si="42"/>
        <v>0</v>
      </c>
      <c r="K206" s="940">
        <f t="shared" si="43"/>
        <v>0</v>
      </c>
      <c r="L206" s="405"/>
    </row>
    <row r="207" spans="1:12" s="842" customFormat="1" ht="65.25" customHeight="1">
      <c r="A207" s="2573"/>
      <c r="B207" s="2630"/>
      <c r="C207" s="1137" t="s">
        <v>998</v>
      </c>
      <c r="D207" s="2642"/>
      <c r="E207" s="832">
        <v>0</v>
      </c>
      <c r="F207" s="832">
        <v>155946</v>
      </c>
      <c r="G207" s="939">
        <v>69934</v>
      </c>
      <c r="H207" s="1131">
        <f t="shared" si="44"/>
        <v>0.44845010452336065</v>
      </c>
      <c r="I207" s="939"/>
      <c r="J207" s="939">
        <f t="shared" si="42"/>
        <v>69934</v>
      </c>
      <c r="K207" s="940">
        <f t="shared" si="43"/>
        <v>0.44845010452336065</v>
      </c>
      <c r="L207" s="405"/>
    </row>
    <row r="208" spans="1:12" s="842" customFormat="1" ht="54.75" customHeight="1">
      <c r="A208" s="2573"/>
      <c r="B208" s="2630"/>
      <c r="C208" s="1138" t="s">
        <v>999</v>
      </c>
      <c r="D208" s="2642"/>
      <c r="E208" s="832">
        <v>0</v>
      </c>
      <c r="F208" s="832">
        <v>0</v>
      </c>
      <c r="G208" s="939">
        <v>9155</v>
      </c>
      <c r="H208" s="1131"/>
      <c r="I208" s="939"/>
      <c r="J208" s="939">
        <f t="shared" si="42"/>
        <v>9155</v>
      </c>
      <c r="K208" s="940"/>
      <c r="L208" s="405"/>
    </row>
    <row r="209" spans="1:12" s="842" customFormat="1" ht="65.25" customHeight="1">
      <c r="A209" s="2573"/>
      <c r="B209" s="2630"/>
      <c r="C209" s="1138" t="s">
        <v>1000</v>
      </c>
      <c r="D209" s="2643"/>
      <c r="E209" s="901">
        <v>0</v>
      </c>
      <c r="F209" s="901">
        <v>0</v>
      </c>
      <c r="G209" s="406">
        <v>49445</v>
      </c>
      <c r="H209" s="1131"/>
      <c r="I209" s="406"/>
      <c r="J209" s="406">
        <f t="shared" si="42"/>
        <v>49445</v>
      </c>
      <c r="K209" s="407"/>
      <c r="L209" s="405"/>
    </row>
    <row r="210" spans="1:12" s="842" customFormat="1" ht="66" customHeight="1">
      <c r="A210" s="2573"/>
      <c r="B210" s="2630"/>
      <c r="C210" s="1138" t="s">
        <v>995</v>
      </c>
      <c r="D210" s="2644">
        <v>2057</v>
      </c>
      <c r="E210" s="832">
        <v>0</v>
      </c>
      <c r="F210" s="832">
        <v>229114</v>
      </c>
      <c r="G210" s="939">
        <v>93937</v>
      </c>
      <c r="H210" s="1133">
        <f t="shared" si="44"/>
        <v>0.41000113480625366</v>
      </c>
      <c r="I210" s="939"/>
      <c r="J210" s="939">
        <f t="shared" si="42"/>
        <v>93937</v>
      </c>
      <c r="K210" s="940">
        <f t="shared" si="43"/>
        <v>0.41000113480625366</v>
      </c>
      <c r="L210" s="405"/>
    </row>
    <row r="211" spans="1:12" s="842" customFormat="1" ht="60" customHeight="1">
      <c r="A211" s="2573"/>
      <c r="B211" s="2630"/>
      <c r="C211" s="1137" t="s">
        <v>1001</v>
      </c>
      <c r="D211" s="2645"/>
      <c r="E211" s="832">
        <v>0</v>
      </c>
      <c r="F211" s="832">
        <v>0</v>
      </c>
      <c r="G211" s="939">
        <v>174630</v>
      </c>
      <c r="H211" s="1131"/>
      <c r="I211" s="939"/>
      <c r="J211" s="939">
        <f t="shared" si="42"/>
        <v>174630</v>
      </c>
      <c r="K211" s="940"/>
      <c r="L211" s="405"/>
    </row>
    <row r="212" spans="1:12" s="842" customFormat="1" ht="56.25" hidden="1" customHeight="1">
      <c r="A212" s="2573"/>
      <c r="B212" s="2630"/>
      <c r="C212" s="1139" t="s">
        <v>332</v>
      </c>
      <c r="D212" s="2641">
        <v>2058</v>
      </c>
      <c r="E212" s="971">
        <v>93500</v>
      </c>
      <c r="F212" s="832">
        <v>93500</v>
      </c>
      <c r="G212" s="939">
        <v>0</v>
      </c>
      <c r="H212" s="1133">
        <f t="shared" si="44"/>
        <v>0</v>
      </c>
      <c r="I212" s="939"/>
      <c r="J212" s="939">
        <f t="shared" si="42"/>
        <v>0</v>
      </c>
      <c r="K212" s="940">
        <f t="shared" si="43"/>
        <v>0</v>
      </c>
      <c r="L212" s="856"/>
    </row>
    <row r="213" spans="1:12" s="842" customFormat="1" ht="63" customHeight="1">
      <c r="A213" s="2573"/>
      <c r="B213" s="2630"/>
      <c r="C213" s="1140" t="s">
        <v>333</v>
      </c>
      <c r="D213" s="2642"/>
      <c r="E213" s="971">
        <v>1031266</v>
      </c>
      <c r="F213" s="832">
        <v>878694</v>
      </c>
      <c r="G213" s="939">
        <v>779784</v>
      </c>
      <c r="H213" s="1133">
        <f t="shared" si="44"/>
        <v>0.88743521635518163</v>
      </c>
      <c r="I213" s="939"/>
      <c r="J213" s="939">
        <f t="shared" si="42"/>
        <v>779784</v>
      </c>
      <c r="K213" s="940">
        <f t="shared" si="43"/>
        <v>0.88743521635518163</v>
      </c>
      <c r="L213" s="940"/>
    </row>
    <row r="214" spans="1:12" s="842" customFormat="1" ht="57.75" customHeight="1">
      <c r="A214" s="2573"/>
      <c r="B214" s="2630"/>
      <c r="C214" s="1140" t="s">
        <v>1002</v>
      </c>
      <c r="D214" s="2643"/>
      <c r="E214" s="971">
        <v>0</v>
      </c>
      <c r="F214" s="939">
        <v>0</v>
      </c>
      <c r="G214" s="939">
        <v>70806</v>
      </c>
      <c r="H214" s="1133"/>
      <c r="I214" s="939"/>
      <c r="J214" s="939">
        <f t="shared" si="42"/>
        <v>70806</v>
      </c>
      <c r="K214" s="940"/>
      <c r="L214" s="940"/>
    </row>
    <row r="215" spans="1:12" s="842" customFormat="1" ht="69" customHeight="1">
      <c r="A215" s="2573"/>
      <c r="B215" s="2630"/>
      <c r="C215" s="1140" t="s">
        <v>998</v>
      </c>
      <c r="D215" s="2641">
        <v>2059</v>
      </c>
      <c r="E215" s="971">
        <v>0</v>
      </c>
      <c r="F215" s="939">
        <v>13875</v>
      </c>
      <c r="G215" s="939">
        <v>5688</v>
      </c>
      <c r="H215" s="1133">
        <f t="shared" si="44"/>
        <v>0.40994594594594597</v>
      </c>
      <c r="I215" s="939"/>
      <c r="J215" s="939">
        <f t="shared" si="42"/>
        <v>5688</v>
      </c>
      <c r="K215" s="940">
        <f t="shared" si="43"/>
        <v>0.40994594594594597</v>
      </c>
      <c r="L215" s="940"/>
    </row>
    <row r="216" spans="1:12" s="842" customFormat="1" ht="57.75" hidden="1" customHeight="1">
      <c r="A216" s="2573"/>
      <c r="B216" s="2630"/>
      <c r="C216" s="1141" t="s">
        <v>334</v>
      </c>
      <c r="D216" s="2642"/>
      <c r="E216" s="971">
        <v>10000</v>
      </c>
      <c r="F216" s="832">
        <v>10000</v>
      </c>
      <c r="G216" s="939">
        <v>0</v>
      </c>
      <c r="H216" s="1133">
        <f t="shared" si="44"/>
        <v>0</v>
      </c>
      <c r="I216" s="939"/>
      <c r="J216" s="939">
        <f t="shared" si="42"/>
        <v>0</v>
      </c>
      <c r="K216" s="940">
        <f t="shared" si="43"/>
        <v>0</v>
      </c>
      <c r="L216" s="940"/>
    </row>
    <row r="217" spans="1:12" s="842" customFormat="1" ht="65.25" customHeight="1">
      <c r="A217" s="2573"/>
      <c r="B217" s="2630"/>
      <c r="C217" s="1141" t="s">
        <v>1003</v>
      </c>
      <c r="D217" s="2642"/>
      <c r="E217" s="971">
        <v>0</v>
      </c>
      <c r="F217" s="832">
        <v>0</v>
      </c>
      <c r="G217" s="939">
        <v>10272</v>
      </c>
      <c r="H217" s="1133"/>
      <c r="I217" s="939"/>
      <c r="J217" s="939">
        <f t="shared" si="42"/>
        <v>10272</v>
      </c>
      <c r="K217" s="940"/>
      <c r="L217" s="940"/>
    </row>
    <row r="218" spans="1:12" s="842" customFormat="1" ht="58.5" customHeight="1">
      <c r="A218" s="2573"/>
      <c r="B218" s="2630"/>
      <c r="C218" s="1139" t="s">
        <v>1004</v>
      </c>
      <c r="D218" s="2642"/>
      <c r="E218" s="1142">
        <v>0</v>
      </c>
      <c r="F218" s="962">
        <v>0</v>
      </c>
      <c r="G218" s="962">
        <v>8126</v>
      </c>
      <c r="H218" s="1133"/>
      <c r="I218" s="962">
        <v>17874</v>
      </c>
      <c r="J218" s="962">
        <f t="shared" si="42"/>
        <v>26000</v>
      </c>
      <c r="K218" s="1033"/>
      <c r="L218" s="940"/>
    </row>
    <row r="219" spans="1:12" s="842" customFormat="1" ht="42.75" hidden="1" customHeight="1">
      <c r="A219" s="2573"/>
      <c r="B219" s="2631"/>
      <c r="C219" s="1141" t="s">
        <v>1005</v>
      </c>
      <c r="D219" s="1143">
        <v>2710</v>
      </c>
      <c r="E219" s="971">
        <v>0</v>
      </c>
      <c r="F219" s="832">
        <v>50000</v>
      </c>
      <c r="G219" s="939">
        <v>0</v>
      </c>
      <c r="H219" s="1133">
        <f t="shared" si="44"/>
        <v>0</v>
      </c>
      <c r="I219" s="939"/>
      <c r="J219" s="939">
        <f t="shared" si="42"/>
        <v>0</v>
      </c>
      <c r="K219" s="940">
        <f t="shared" si="43"/>
        <v>0</v>
      </c>
      <c r="L219" s="940"/>
    </row>
    <row r="220" spans="1:12" s="842" customFormat="1" ht="15.75" thickBot="1">
      <c r="A220" s="2573"/>
      <c r="B220" s="2526" t="s">
        <v>223</v>
      </c>
      <c r="C220" s="2527"/>
      <c r="D220" s="1056"/>
      <c r="E220" s="875">
        <f>SUM(E221:E225)</f>
        <v>10000</v>
      </c>
      <c r="F220" s="875">
        <f>SUM(F221:F225)</f>
        <v>1088550</v>
      </c>
      <c r="G220" s="875">
        <f t="shared" ref="G220" si="45">SUM(G221:G225)</f>
        <v>0</v>
      </c>
      <c r="H220" s="876">
        <f>G220/F220</f>
        <v>0</v>
      </c>
      <c r="I220" s="875"/>
      <c r="J220" s="875">
        <f t="shared" si="42"/>
        <v>0</v>
      </c>
      <c r="K220" s="1063">
        <f t="shared" si="43"/>
        <v>0</v>
      </c>
      <c r="L220" s="863"/>
    </row>
    <row r="221" spans="1:12" s="842" customFormat="1" ht="65.25" hidden="1" customHeight="1">
      <c r="A221" s="1108"/>
      <c r="B221" s="2652"/>
      <c r="C221" s="1144" t="s">
        <v>995</v>
      </c>
      <c r="D221" s="1145">
        <v>6207</v>
      </c>
      <c r="E221" s="905">
        <v>0</v>
      </c>
      <c r="F221" s="905">
        <v>898095</v>
      </c>
      <c r="G221" s="962">
        <v>0</v>
      </c>
      <c r="H221" s="1033">
        <f t="shared" si="44"/>
        <v>0</v>
      </c>
      <c r="I221" s="962"/>
      <c r="J221" s="962">
        <f t="shared" si="42"/>
        <v>0</v>
      </c>
      <c r="K221" s="1033">
        <f t="shared" si="43"/>
        <v>0</v>
      </c>
      <c r="L221" s="959"/>
    </row>
    <row r="222" spans="1:12" s="842" customFormat="1" ht="66.75" hidden="1" customHeight="1">
      <c r="A222" s="1108"/>
      <c r="B222" s="2653"/>
      <c r="C222" s="1144" t="s">
        <v>998</v>
      </c>
      <c r="D222" s="1146">
        <v>6209</v>
      </c>
      <c r="E222" s="905">
        <v>0</v>
      </c>
      <c r="F222" s="905">
        <v>54387</v>
      </c>
      <c r="G222" s="962">
        <v>0</v>
      </c>
      <c r="H222" s="1033">
        <f t="shared" si="44"/>
        <v>0</v>
      </c>
      <c r="I222" s="962"/>
      <c r="J222" s="962">
        <f t="shared" si="42"/>
        <v>0</v>
      </c>
      <c r="K222" s="1033">
        <f t="shared" si="43"/>
        <v>0</v>
      </c>
      <c r="L222" s="959"/>
    </row>
    <row r="223" spans="1:12" s="842" customFormat="1" ht="65.25" hidden="1" customHeight="1">
      <c r="A223" s="1108"/>
      <c r="B223" s="2653"/>
      <c r="C223" s="1144" t="s">
        <v>995</v>
      </c>
      <c r="D223" s="1146">
        <v>6257</v>
      </c>
      <c r="E223" s="905">
        <v>0</v>
      </c>
      <c r="F223" s="905">
        <v>128298</v>
      </c>
      <c r="G223" s="962">
        <v>0</v>
      </c>
      <c r="H223" s="1033">
        <f t="shared" si="44"/>
        <v>0</v>
      </c>
      <c r="I223" s="962"/>
      <c r="J223" s="962">
        <f t="shared" si="42"/>
        <v>0</v>
      </c>
      <c r="K223" s="1033">
        <f t="shared" si="43"/>
        <v>0</v>
      </c>
      <c r="L223" s="959"/>
    </row>
    <row r="224" spans="1:12" s="842" customFormat="1" ht="55.5" hidden="1" customHeight="1">
      <c r="A224" s="1108"/>
      <c r="B224" s="2653"/>
      <c r="C224" s="1144" t="s">
        <v>333</v>
      </c>
      <c r="D224" s="1145">
        <v>6258</v>
      </c>
      <c r="E224" s="905">
        <v>10000</v>
      </c>
      <c r="F224" s="905">
        <v>0</v>
      </c>
      <c r="G224" s="962">
        <v>0</v>
      </c>
      <c r="H224" s="1033"/>
      <c r="I224" s="962"/>
      <c r="J224" s="962">
        <f t="shared" si="42"/>
        <v>0</v>
      </c>
      <c r="K224" s="1033"/>
      <c r="L224" s="959"/>
    </row>
    <row r="225" spans="1:12" s="842" customFormat="1" ht="66" hidden="1" customHeight="1" thickBot="1">
      <c r="A225" s="1108"/>
      <c r="B225" s="2654"/>
      <c r="C225" s="1147" t="s">
        <v>998</v>
      </c>
      <c r="D225" s="484">
        <v>6259</v>
      </c>
      <c r="E225" s="1148">
        <v>0</v>
      </c>
      <c r="F225" s="1148">
        <v>7770</v>
      </c>
      <c r="G225" s="434">
        <v>0</v>
      </c>
      <c r="H225" s="435">
        <f t="shared" ref="H225" si="46">G225/F225</f>
        <v>0</v>
      </c>
      <c r="I225" s="434"/>
      <c r="J225" s="434">
        <f t="shared" si="42"/>
        <v>0</v>
      </c>
      <c r="K225" s="1033">
        <f t="shared" si="43"/>
        <v>0</v>
      </c>
      <c r="L225" s="959"/>
    </row>
    <row r="226" spans="1:12" s="842" customFormat="1" ht="17.25" hidden="1" customHeight="1" thickBot="1">
      <c r="A226" s="949">
        <v>752</v>
      </c>
      <c r="B226" s="464"/>
      <c r="C226" s="460" t="s">
        <v>335</v>
      </c>
      <c r="D226" s="465"/>
      <c r="E226" s="916">
        <f>E227</f>
        <v>5000</v>
      </c>
      <c r="F226" s="916">
        <f t="shared" ref="F226:H226" si="47">F227</f>
        <v>5000</v>
      </c>
      <c r="G226" s="916">
        <f t="shared" si="47"/>
        <v>0</v>
      </c>
      <c r="H226" s="916">
        <f t="shared" si="47"/>
        <v>0</v>
      </c>
      <c r="I226" s="916"/>
      <c r="J226" s="916">
        <f t="shared" si="42"/>
        <v>0</v>
      </c>
      <c r="K226" s="917">
        <f t="shared" si="43"/>
        <v>0</v>
      </c>
      <c r="L226" s="917"/>
    </row>
    <row r="227" spans="1:12" s="842" customFormat="1" ht="17.25" hidden="1" customHeight="1" thickBot="1">
      <c r="A227" s="1108"/>
      <c r="B227" s="438">
        <v>75212</v>
      </c>
      <c r="C227" s="868" t="s">
        <v>1006</v>
      </c>
      <c r="D227" s="400"/>
      <c r="E227" s="826">
        <f>E228+E230</f>
        <v>5000</v>
      </c>
      <c r="F227" s="826">
        <f t="shared" ref="F227:H227" si="48">F228+F230</f>
        <v>5000</v>
      </c>
      <c r="G227" s="826">
        <f t="shared" si="48"/>
        <v>0</v>
      </c>
      <c r="H227" s="826">
        <f t="shared" si="48"/>
        <v>0</v>
      </c>
      <c r="I227" s="826"/>
      <c r="J227" s="826">
        <f t="shared" si="42"/>
        <v>0</v>
      </c>
      <c r="K227" s="827">
        <f t="shared" si="43"/>
        <v>0</v>
      </c>
      <c r="L227" s="827"/>
    </row>
    <row r="228" spans="1:12" s="842" customFormat="1" ht="15" hidden="1" customHeight="1">
      <c r="A228" s="1108"/>
      <c r="B228" s="2515" t="s">
        <v>219</v>
      </c>
      <c r="C228" s="2520"/>
      <c r="D228" s="1149"/>
      <c r="E228" s="953">
        <f>E229</f>
        <v>5000</v>
      </c>
      <c r="F228" s="953">
        <f t="shared" ref="F228:H228" si="49">F229</f>
        <v>5000</v>
      </c>
      <c r="G228" s="953">
        <f t="shared" si="49"/>
        <v>0</v>
      </c>
      <c r="H228" s="953">
        <f t="shared" si="49"/>
        <v>0</v>
      </c>
      <c r="I228" s="953"/>
      <c r="J228" s="953">
        <f t="shared" si="42"/>
        <v>0</v>
      </c>
      <c r="K228" s="954">
        <f t="shared" si="43"/>
        <v>0</v>
      </c>
      <c r="L228" s="954"/>
    </row>
    <row r="229" spans="1:12" s="842" customFormat="1" ht="42" hidden="1" customHeight="1">
      <c r="A229" s="1108"/>
      <c r="B229" s="1150"/>
      <c r="C229" s="1151" t="s">
        <v>227</v>
      </c>
      <c r="D229" s="459">
        <v>2210</v>
      </c>
      <c r="E229" s="956">
        <v>5000</v>
      </c>
      <c r="F229" s="956">
        <v>5000</v>
      </c>
      <c r="G229" s="404">
        <v>0</v>
      </c>
      <c r="H229" s="405">
        <f>G229/F229</f>
        <v>0</v>
      </c>
      <c r="I229" s="404"/>
      <c r="J229" s="404">
        <f t="shared" si="42"/>
        <v>0</v>
      </c>
      <c r="K229" s="405">
        <f t="shared" si="43"/>
        <v>0</v>
      </c>
      <c r="L229" s="851"/>
    </row>
    <row r="230" spans="1:12" s="842" customFormat="1" ht="18" hidden="1" customHeight="1" thickBot="1">
      <c r="A230" s="1108"/>
      <c r="B230" s="2559" t="s">
        <v>223</v>
      </c>
      <c r="C230" s="2545"/>
      <c r="D230" s="908"/>
      <c r="E230" s="1076">
        <v>0</v>
      </c>
      <c r="F230" s="1076">
        <v>0</v>
      </c>
      <c r="G230" s="1076">
        <v>0</v>
      </c>
      <c r="H230" s="1077"/>
      <c r="I230" s="1076"/>
      <c r="J230" s="1076">
        <f t="shared" si="42"/>
        <v>0</v>
      </c>
      <c r="K230" s="1077"/>
      <c r="L230" s="1077"/>
    </row>
    <row r="231" spans="1:12" s="824" customFormat="1" ht="43.5" customHeight="1" thickBot="1">
      <c r="A231" s="453">
        <v>756</v>
      </c>
      <c r="B231" s="464"/>
      <c r="C231" s="460" t="s">
        <v>337</v>
      </c>
      <c r="D231" s="465"/>
      <c r="E231" s="916">
        <f>SUM(E232,E239)</f>
        <v>251648437</v>
      </c>
      <c r="F231" s="916">
        <f>SUM(F232,F239)</f>
        <v>251648437</v>
      </c>
      <c r="G231" s="916">
        <f>SUM(G232,G239)</f>
        <v>256537327</v>
      </c>
      <c r="H231" s="917">
        <f t="shared" si="44"/>
        <v>1.0194274602230096</v>
      </c>
      <c r="I231" s="916">
        <f>I239</f>
        <v>-206621</v>
      </c>
      <c r="J231" s="916">
        <f t="shared" si="42"/>
        <v>256330706</v>
      </c>
      <c r="K231" s="917">
        <f t="shared" si="43"/>
        <v>1.0186063901521472</v>
      </c>
      <c r="L231" s="917"/>
    </row>
    <row r="232" spans="1:12" s="824" customFormat="1" ht="26.25" thickBot="1">
      <c r="A232" s="2572"/>
      <c r="B232" s="438">
        <v>75618</v>
      </c>
      <c r="C232" s="868" t="s">
        <v>338</v>
      </c>
      <c r="D232" s="400"/>
      <c r="E232" s="826">
        <f>SUM(E233,E238)</f>
        <v>5139724</v>
      </c>
      <c r="F232" s="826">
        <f>SUM(F233,F238)</f>
        <v>5139724</v>
      </c>
      <c r="G232" s="826">
        <f>SUM(G233,G238)</f>
        <v>5098440</v>
      </c>
      <c r="H232" s="827">
        <f t="shared" si="44"/>
        <v>0.99196766207679632</v>
      </c>
      <c r="I232" s="826"/>
      <c r="J232" s="826">
        <f t="shared" si="42"/>
        <v>5098440</v>
      </c>
      <c r="K232" s="827">
        <f t="shared" si="43"/>
        <v>0.99196766207679632</v>
      </c>
      <c r="L232" s="827"/>
    </row>
    <row r="233" spans="1:12" s="824" customFormat="1">
      <c r="A233" s="2573"/>
      <c r="B233" s="2515" t="s">
        <v>219</v>
      </c>
      <c r="C233" s="2520"/>
      <c r="D233" s="1149"/>
      <c r="E233" s="829">
        <f>SUM(E234:E237)</f>
        <v>5139724</v>
      </c>
      <c r="F233" s="829">
        <f>SUM(F234:F237)</f>
        <v>5139724</v>
      </c>
      <c r="G233" s="829">
        <f>SUM(G234:G237)</f>
        <v>5098440</v>
      </c>
      <c r="H233" s="830">
        <f t="shared" si="44"/>
        <v>0.99196766207679632</v>
      </c>
      <c r="I233" s="829"/>
      <c r="J233" s="829">
        <f t="shared" si="42"/>
        <v>5098440</v>
      </c>
      <c r="K233" s="830">
        <f t="shared" si="43"/>
        <v>0.99196766207679632</v>
      </c>
      <c r="L233" s="830"/>
    </row>
    <row r="234" spans="1:12" s="842" customFormat="1" ht="25.5">
      <c r="A234" s="2573"/>
      <c r="B234" s="2586"/>
      <c r="C234" s="1079" t="s">
        <v>339</v>
      </c>
      <c r="D234" s="831" t="s">
        <v>340</v>
      </c>
      <c r="E234" s="971">
        <v>4377608</v>
      </c>
      <c r="F234" s="971">
        <v>4377608</v>
      </c>
      <c r="G234" s="832">
        <v>4533940</v>
      </c>
      <c r="H234" s="972">
        <f t="shared" si="44"/>
        <v>1.0357117402928722</v>
      </c>
      <c r="I234" s="832"/>
      <c r="J234" s="832">
        <f t="shared" si="42"/>
        <v>4533940</v>
      </c>
      <c r="K234" s="833">
        <f t="shared" si="43"/>
        <v>1.0357117402928722</v>
      </c>
      <c r="L234" s="972"/>
    </row>
    <row r="235" spans="1:12" s="842" customFormat="1" ht="15.75" customHeight="1">
      <c r="A235" s="2573"/>
      <c r="B235" s="2587"/>
      <c r="C235" s="1093" t="s">
        <v>341</v>
      </c>
      <c r="D235" s="882" t="s">
        <v>342</v>
      </c>
      <c r="E235" s="832">
        <v>707800</v>
      </c>
      <c r="F235" s="832">
        <v>707800</v>
      </c>
      <c r="G235" s="939">
        <v>529500</v>
      </c>
      <c r="H235" s="940">
        <f t="shared" si="44"/>
        <v>0.74809268154845998</v>
      </c>
      <c r="I235" s="939"/>
      <c r="J235" s="939">
        <f t="shared" si="42"/>
        <v>529500</v>
      </c>
      <c r="K235" s="940">
        <f t="shared" si="43"/>
        <v>0.74809268154845998</v>
      </c>
      <c r="L235" s="856"/>
    </row>
    <row r="236" spans="1:12" s="842" customFormat="1" ht="41.25" hidden="1" customHeight="1">
      <c r="A236" s="2573"/>
      <c r="B236" s="2587"/>
      <c r="C236" s="1152" t="s">
        <v>343</v>
      </c>
      <c r="D236" s="446" t="s">
        <v>344</v>
      </c>
      <c r="E236" s="832">
        <v>24316</v>
      </c>
      <c r="F236" s="832">
        <v>24316</v>
      </c>
      <c r="G236" s="832">
        <v>0</v>
      </c>
      <c r="H236" s="833">
        <f t="shared" si="44"/>
        <v>0</v>
      </c>
      <c r="I236" s="832"/>
      <c r="J236" s="832">
        <f t="shared" si="42"/>
        <v>0</v>
      </c>
      <c r="K236" s="833">
        <f t="shared" si="43"/>
        <v>0</v>
      </c>
      <c r="L236" s="833"/>
    </row>
    <row r="237" spans="1:12" s="842" customFormat="1">
      <c r="A237" s="2573"/>
      <c r="B237" s="2588"/>
      <c r="C237" s="1153" t="s">
        <v>345</v>
      </c>
      <c r="D237" s="1070" t="s">
        <v>222</v>
      </c>
      <c r="E237" s="832">
        <v>30000</v>
      </c>
      <c r="F237" s="832">
        <v>30000</v>
      </c>
      <c r="G237" s="939">
        <v>35000</v>
      </c>
      <c r="H237" s="940">
        <f t="shared" si="44"/>
        <v>1.1666666666666667</v>
      </c>
      <c r="I237" s="939"/>
      <c r="J237" s="939">
        <f t="shared" si="42"/>
        <v>35000</v>
      </c>
      <c r="K237" s="940">
        <f t="shared" si="43"/>
        <v>1.1666666666666667</v>
      </c>
      <c r="L237" s="856"/>
    </row>
    <row r="238" spans="1:12" s="824" customFormat="1" ht="15.75" thickBot="1">
      <c r="A238" s="2573"/>
      <c r="B238" s="2544" t="s">
        <v>223</v>
      </c>
      <c r="C238" s="2545"/>
      <c r="D238" s="874"/>
      <c r="E238" s="875">
        <v>0</v>
      </c>
      <c r="F238" s="875">
        <v>0</v>
      </c>
      <c r="G238" s="875">
        <v>0</v>
      </c>
      <c r="H238" s="876"/>
      <c r="I238" s="875"/>
      <c r="J238" s="875">
        <f t="shared" si="42"/>
        <v>0</v>
      </c>
      <c r="K238" s="876"/>
      <c r="L238" s="876"/>
    </row>
    <row r="239" spans="1:12" s="842" customFormat="1" ht="26.25" thickBot="1">
      <c r="A239" s="2573"/>
      <c r="B239" s="978">
        <v>75623</v>
      </c>
      <c r="C239" s="408" t="s">
        <v>346</v>
      </c>
      <c r="D239" s="411"/>
      <c r="E239" s="413">
        <f t="shared" ref="E239:G239" si="50">SUM(E240,E243)</f>
        <v>246508713</v>
      </c>
      <c r="F239" s="413">
        <f t="shared" si="50"/>
        <v>246508713</v>
      </c>
      <c r="G239" s="413">
        <f t="shared" si="50"/>
        <v>251438887</v>
      </c>
      <c r="H239" s="414">
        <f t="shared" si="44"/>
        <v>1.0199999989452706</v>
      </c>
      <c r="I239" s="413">
        <f>I240</f>
        <v>-206621</v>
      </c>
      <c r="J239" s="413">
        <f t="shared" si="42"/>
        <v>251232266</v>
      </c>
      <c r="K239" s="414">
        <f t="shared" si="43"/>
        <v>1.0191618095056949</v>
      </c>
      <c r="L239" s="414"/>
    </row>
    <row r="240" spans="1:12" s="842" customFormat="1">
      <c r="A240" s="2573"/>
      <c r="B240" s="2570" t="s">
        <v>219</v>
      </c>
      <c r="C240" s="2564"/>
      <c r="D240" s="1154"/>
      <c r="E240" s="394">
        <f>SUM(E241:E242)</f>
        <v>246508713</v>
      </c>
      <c r="F240" s="394">
        <f>SUM(F241:F242)</f>
        <v>246508713</v>
      </c>
      <c r="G240" s="394">
        <f>SUM(G241:G242)</f>
        <v>251438887</v>
      </c>
      <c r="H240" s="395">
        <f t="shared" si="44"/>
        <v>1.0199999989452706</v>
      </c>
      <c r="I240" s="394">
        <f>I241</f>
        <v>-206621</v>
      </c>
      <c r="J240" s="394">
        <f t="shared" si="42"/>
        <v>251232266</v>
      </c>
      <c r="K240" s="395">
        <f t="shared" si="43"/>
        <v>1.0191618095056949</v>
      </c>
      <c r="L240" s="395"/>
    </row>
    <row r="241" spans="1:13" s="842" customFormat="1" ht="20.25" customHeight="1">
      <c r="A241" s="2573"/>
      <c r="B241" s="2655"/>
      <c r="C241" s="1093" t="s">
        <v>347</v>
      </c>
      <c r="D241" s="1017" t="s">
        <v>348</v>
      </c>
      <c r="E241" s="939">
        <v>66508713</v>
      </c>
      <c r="F241" s="939">
        <v>66508713</v>
      </c>
      <c r="G241" s="939">
        <v>67838887</v>
      </c>
      <c r="H241" s="940">
        <f t="shared" si="44"/>
        <v>1.0199999960907378</v>
      </c>
      <c r="I241" s="939">
        <v>-206621</v>
      </c>
      <c r="J241" s="939">
        <f t="shared" si="42"/>
        <v>67632266</v>
      </c>
      <c r="K241" s="940">
        <f t="shared" si="43"/>
        <v>1.016893320428558</v>
      </c>
      <c r="L241" s="1019" t="s">
        <v>1007</v>
      </c>
    </row>
    <row r="242" spans="1:13" s="842" customFormat="1" ht="18" customHeight="1">
      <c r="A242" s="2573"/>
      <c r="B242" s="2656"/>
      <c r="C242" s="1093" t="s">
        <v>349</v>
      </c>
      <c r="D242" s="1017" t="s">
        <v>350</v>
      </c>
      <c r="E242" s="939">
        <v>180000000</v>
      </c>
      <c r="F242" s="939">
        <v>180000000</v>
      </c>
      <c r="G242" s="939">
        <v>183600000</v>
      </c>
      <c r="H242" s="940">
        <f t="shared" si="44"/>
        <v>1.02</v>
      </c>
      <c r="I242" s="939"/>
      <c r="J242" s="939">
        <f t="shared" si="42"/>
        <v>183600000</v>
      </c>
      <c r="K242" s="940">
        <f t="shared" si="43"/>
        <v>1.02</v>
      </c>
      <c r="L242" s="1019" t="s">
        <v>1007</v>
      </c>
    </row>
    <row r="243" spans="1:13" s="842" customFormat="1" ht="15.75" thickBot="1">
      <c r="A243" s="2575"/>
      <c r="B243" s="2657" t="s">
        <v>223</v>
      </c>
      <c r="C243" s="2658"/>
      <c r="D243" s="1015"/>
      <c r="E243" s="429">
        <v>0</v>
      </c>
      <c r="F243" s="429">
        <v>0</v>
      </c>
      <c r="G243" s="429">
        <v>0</v>
      </c>
      <c r="H243" s="430"/>
      <c r="I243" s="429"/>
      <c r="J243" s="429">
        <f t="shared" si="42"/>
        <v>0</v>
      </c>
      <c r="K243" s="430"/>
      <c r="L243" s="430"/>
    </row>
    <row r="244" spans="1:13" s="842" customFormat="1" ht="15.75" thickBot="1">
      <c r="A244" s="519">
        <v>758</v>
      </c>
      <c r="B244" s="496"/>
      <c r="C244" s="487" t="s">
        <v>351</v>
      </c>
      <c r="D244" s="1155"/>
      <c r="E244" s="387">
        <f>SUM(E245,E254,E258,E262,E266,E279,E249)</f>
        <v>729577289</v>
      </c>
      <c r="F244" s="387">
        <f t="shared" ref="F244:G244" si="51">SUM(F245,F254,F258,F262,F266,F279,F249)</f>
        <v>760446261</v>
      </c>
      <c r="G244" s="387">
        <f t="shared" si="51"/>
        <v>523635515</v>
      </c>
      <c r="H244" s="388">
        <f t="shared" si="44"/>
        <v>0.68858976873843813</v>
      </c>
      <c r="I244" s="387">
        <f>I245+I249+I254+I262+I258+I266</f>
        <v>80792520</v>
      </c>
      <c r="J244" s="387">
        <f t="shared" si="42"/>
        <v>604428035</v>
      </c>
      <c r="K244" s="388">
        <f t="shared" si="43"/>
        <v>0.79483333142458568</v>
      </c>
      <c r="L244" s="1156"/>
    </row>
    <row r="245" spans="1:13" s="984" customFormat="1" ht="26.25" thickBot="1">
      <c r="A245" s="2668"/>
      <c r="B245" s="494">
        <v>75801</v>
      </c>
      <c r="C245" s="489" t="s">
        <v>352</v>
      </c>
      <c r="D245" s="495"/>
      <c r="E245" s="392">
        <f t="shared" ref="E245:G245" si="52">SUM(E246,E248)</f>
        <v>33755560</v>
      </c>
      <c r="F245" s="392">
        <f t="shared" si="52"/>
        <v>33941694</v>
      </c>
      <c r="G245" s="392">
        <f t="shared" si="52"/>
        <v>34620528</v>
      </c>
      <c r="H245" s="393">
        <f t="shared" si="44"/>
        <v>1.0200000035354746</v>
      </c>
      <c r="I245" s="392">
        <f>I246</f>
        <v>-1657393</v>
      </c>
      <c r="J245" s="392">
        <f t="shared" si="42"/>
        <v>32963135</v>
      </c>
      <c r="K245" s="393">
        <f t="shared" si="43"/>
        <v>0.97116941187437489</v>
      </c>
      <c r="L245" s="393"/>
    </row>
    <row r="246" spans="1:13" s="842" customFormat="1" ht="16.5" customHeight="1">
      <c r="A246" s="2669"/>
      <c r="B246" s="2671" t="s">
        <v>219</v>
      </c>
      <c r="C246" s="2671"/>
      <c r="D246" s="1157"/>
      <c r="E246" s="394">
        <f>SUM(E247)</f>
        <v>33755560</v>
      </c>
      <c r="F246" s="394">
        <f>SUM(F247)</f>
        <v>33941694</v>
      </c>
      <c r="G246" s="394">
        <f>SUM(G247)</f>
        <v>34620528</v>
      </c>
      <c r="H246" s="395">
        <f t="shared" si="44"/>
        <v>1.0200000035354746</v>
      </c>
      <c r="I246" s="394">
        <f>I247</f>
        <v>-1657393</v>
      </c>
      <c r="J246" s="394">
        <f t="shared" si="42"/>
        <v>32963135</v>
      </c>
      <c r="K246" s="395">
        <f t="shared" si="43"/>
        <v>0.97116941187437489</v>
      </c>
      <c r="L246" s="395"/>
    </row>
    <row r="247" spans="1:13" s="842" customFormat="1" ht="21.75" customHeight="1">
      <c r="A247" s="2669"/>
      <c r="B247" s="1158"/>
      <c r="C247" s="1159" t="s">
        <v>353</v>
      </c>
      <c r="D247" s="1160">
        <v>2920</v>
      </c>
      <c r="E247" s="939">
        <v>33755560</v>
      </c>
      <c r="F247" s="939">
        <v>33941694</v>
      </c>
      <c r="G247" s="939">
        <v>34620528</v>
      </c>
      <c r="H247" s="940">
        <f t="shared" si="44"/>
        <v>1.0200000035354746</v>
      </c>
      <c r="I247" s="939">
        <v>-1657393</v>
      </c>
      <c r="J247" s="939">
        <f t="shared" si="42"/>
        <v>32963135</v>
      </c>
      <c r="K247" s="940">
        <f t="shared" si="43"/>
        <v>0.97116941187437489</v>
      </c>
      <c r="L247" s="1019" t="s">
        <v>1007</v>
      </c>
    </row>
    <row r="248" spans="1:13" s="842" customFormat="1" ht="15.75" thickBot="1">
      <c r="A248" s="2669"/>
      <c r="B248" s="2672" t="s">
        <v>223</v>
      </c>
      <c r="C248" s="2672"/>
      <c r="D248" s="1161"/>
      <c r="E248" s="431">
        <v>0</v>
      </c>
      <c r="F248" s="431">
        <v>0</v>
      </c>
      <c r="G248" s="431">
        <v>0</v>
      </c>
      <c r="H248" s="432"/>
      <c r="I248" s="431"/>
      <c r="J248" s="431">
        <f t="shared" si="42"/>
        <v>0</v>
      </c>
      <c r="K248" s="432"/>
      <c r="L248" s="432"/>
    </row>
    <row r="249" spans="1:13" s="842" customFormat="1" ht="26.25" thickBot="1">
      <c r="A249" s="2669"/>
      <c r="B249" s="494">
        <v>75802</v>
      </c>
      <c r="C249" s="489" t="s">
        <v>354</v>
      </c>
      <c r="D249" s="495"/>
      <c r="E249" s="392">
        <f>E250+E252</f>
        <v>0</v>
      </c>
      <c r="F249" s="392">
        <f t="shared" ref="F249:G249" si="53">F250+F252</f>
        <v>2986851</v>
      </c>
      <c r="G249" s="392">
        <f t="shared" si="53"/>
        <v>18474745</v>
      </c>
      <c r="H249" s="393">
        <f>G249/F249</f>
        <v>6.1853587607818401</v>
      </c>
      <c r="I249" s="392">
        <f>I250</f>
        <v>2131692</v>
      </c>
      <c r="J249" s="392">
        <f t="shared" si="42"/>
        <v>20606437</v>
      </c>
      <c r="K249" s="393">
        <f t="shared" si="43"/>
        <v>6.8990508733110554</v>
      </c>
      <c r="L249" s="393"/>
    </row>
    <row r="250" spans="1:13" s="842" customFormat="1">
      <c r="A250" s="2669"/>
      <c r="B250" s="2661" t="s">
        <v>219</v>
      </c>
      <c r="C250" s="2661"/>
      <c r="D250" s="740"/>
      <c r="E250" s="394">
        <f>E251</f>
        <v>0</v>
      </c>
      <c r="F250" s="394">
        <f>F251</f>
        <v>0</v>
      </c>
      <c r="G250" s="394">
        <f>G251</f>
        <v>18474745</v>
      </c>
      <c r="H250" s="1162">
        <v>0</v>
      </c>
      <c r="I250" s="394">
        <f>I251</f>
        <v>2131692</v>
      </c>
      <c r="J250" s="394">
        <f t="shared" si="42"/>
        <v>20606437</v>
      </c>
      <c r="K250" s="395"/>
      <c r="L250" s="395"/>
    </row>
    <row r="251" spans="1:13" s="842" customFormat="1" ht="51">
      <c r="A251" s="2670"/>
      <c r="B251" s="1163"/>
      <c r="C251" s="1164" t="s">
        <v>1008</v>
      </c>
      <c r="D251" s="1165">
        <v>2920</v>
      </c>
      <c r="E251" s="936">
        <v>0</v>
      </c>
      <c r="F251" s="935">
        <v>0</v>
      </c>
      <c r="G251" s="1166">
        <v>18474745</v>
      </c>
      <c r="H251" s="1167">
        <v>0</v>
      </c>
      <c r="I251" s="936">
        <v>2131692</v>
      </c>
      <c r="J251" s="935">
        <f t="shared" si="42"/>
        <v>20606437</v>
      </c>
      <c r="K251" s="938"/>
      <c r="L251" s="1168" t="s">
        <v>1009</v>
      </c>
    </row>
    <row r="252" spans="1:13" s="842" customFormat="1" ht="15.75" customHeight="1" thickBot="1">
      <c r="A252" s="2669"/>
      <c r="B252" s="2659" t="s">
        <v>223</v>
      </c>
      <c r="C252" s="2673"/>
      <c r="D252" s="1169"/>
      <c r="E252" s="966">
        <f>E253</f>
        <v>0</v>
      </c>
      <c r="F252" s="966">
        <f t="shared" ref="F252" si="54">F253</f>
        <v>2986851</v>
      </c>
      <c r="G252" s="966">
        <f>G253</f>
        <v>0</v>
      </c>
      <c r="H252" s="1170">
        <f t="shared" si="44"/>
        <v>0</v>
      </c>
      <c r="I252" s="966"/>
      <c r="J252" s="966">
        <f t="shared" si="42"/>
        <v>0</v>
      </c>
      <c r="K252" s="968">
        <f t="shared" si="43"/>
        <v>0</v>
      </c>
      <c r="L252" s="1170"/>
    </row>
    <row r="253" spans="1:13" s="842" customFormat="1" ht="42" hidden="1" customHeight="1" thickBot="1">
      <c r="A253" s="2669"/>
      <c r="B253" s="1171"/>
      <c r="C253" s="1172" t="s">
        <v>355</v>
      </c>
      <c r="D253" s="1173">
        <v>6180</v>
      </c>
      <c r="E253" s="490">
        <v>0</v>
      </c>
      <c r="F253" s="490">
        <v>2986851</v>
      </c>
      <c r="G253" s="406">
        <v>0</v>
      </c>
      <c r="H253" s="1110">
        <f t="shared" si="44"/>
        <v>0</v>
      </c>
      <c r="I253" s="406"/>
      <c r="J253" s="406">
        <f t="shared" si="42"/>
        <v>0</v>
      </c>
      <c r="K253" s="407">
        <f t="shared" si="43"/>
        <v>0</v>
      </c>
      <c r="L253" s="1174"/>
      <c r="M253" s="842" t="s">
        <v>1010</v>
      </c>
    </row>
    <row r="254" spans="1:13" s="842" customFormat="1" ht="15.75" thickBot="1">
      <c r="A254" s="2669"/>
      <c r="B254" s="494">
        <v>75804</v>
      </c>
      <c r="C254" s="489" t="s">
        <v>356</v>
      </c>
      <c r="D254" s="495"/>
      <c r="E254" s="416">
        <f t="shared" ref="E254:G254" si="55">SUM(E255,E257)</f>
        <v>163658636</v>
      </c>
      <c r="F254" s="416">
        <f t="shared" si="55"/>
        <v>163658636</v>
      </c>
      <c r="G254" s="416">
        <f t="shared" si="55"/>
        <v>134918320</v>
      </c>
      <c r="H254" s="417">
        <f t="shared" si="44"/>
        <v>0.8243886378229377</v>
      </c>
      <c r="I254" s="416">
        <f>I255</f>
        <v>45780954</v>
      </c>
      <c r="J254" s="416">
        <f t="shared" si="42"/>
        <v>180699274</v>
      </c>
      <c r="K254" s="417">
        <f t="shared" si="43"/>
        <v>1.1041230601481977</v>
      </c>
      <c r="L254" s="1058"/>
    </row>
    <row r="255" spans="1:13" s="842" customFormat="1">
      <c r="A255" s="2669"/>
      <c r="B255" s="2671" t="s">
        <v>219</v>
      </c>
      <c r="C255" s="2671"/>
      <c r="D255" s="1157"/>
      <c r="E255" s="394">
        <f>SUM(E256)</f>
        <v>163658636</v>
      </c>
      <c r="F255" s="394">
        <f>SUM(F256)</f>
        <v>163658636</v>
      </c>
      <c r="G255" s="394">
        <f>SUM(G256)</f>
        <v>134918320</v>
      </c>
      <c r="H255" s="395">
        <f t="shared" si="44"/>
        <v>0.8243886378229377</v>
      </c>
      <c r="I255" s="394">
        <f>I256</f>
        <v>45780954</v>
      </c>
      <c r="J255" s="394">
        <f t="shared" si="42"/>
        <v>180699274</v>
      </c>
      <c r="K255" s="395">
        <f t="shared" si="43"/>
        <v>1.1041230601481977</v>
      </c>
      <c r="L255" s="891"/>
    </row>
    <row r="256" spans="1:13" s="842" customFormat="1" ht="25.5" customHeight="1">
      <c r="A256" s="2669"/>
      <c r="B256" s="1158"/>
      <c r="C256" s="1159" t="s">
        <v>353</v>
      </c>
      <c r="D256" s="1160">
        <v>2920</v>
      </c>
      <c r="E256" s="939">
        <v>163658636</v>
      </c>
      <c r="F256" s="939">
        <v>163658636</v>
      </c>
      <c r="G256" s="939">
        <v>134918320</v>
      </c>
      <c r="H256" s="940">
        <f t="shared" si="44"/>
        <v>0.8243886378229377</v>
      </c>
      <c r="I256" s="939">
        <v>45780954</v>
      </c>
      <c r="J256" s="939">
        <f t="shared" si="42"/>
        <v>180699274</v>
      </c>
      <c r="K256" s="940">
        <f t="shared" si="43"/>
        <v>1.1041230601481977</v>
      </c>
      <c r="L256" s="1019" t="s">
        <v>1007</v>
      </c>
    </row>
    <row r="257" spans="1:12" s="842" customFormat="1" ht="17.25" customHeight="1" thickBot="1">
      <c r="A257" s="2669"/>
      <c r="B257" s="2659" t="s">
        <v>223</v>
      </c>
      <c r="C257" s="2660"/>
      <c r="D257" s="1175"/>
      <c r="E257" s="966">
        <v>0</v>
      </c>
      <c r="F257" s="966">
        <v>0</v>
      </c>
      <c r="G257" s="966">
        <v>0</v>
      </c>
      <c r="H257" s="968"/>
      <c r="I257" s="966"/>
      <c r="J257" s="966">
        <f t="shared" si="42"/>
        <v>0</v>
      </c>
      <c r="K257" s="1115"/>
      <c r="L257" s="897"/>
    </row>
    <row r="258" spans="1:12" s="842" customFormat="1" ht="15.75" thickBot="1">
      <c r="A258" s="2669"/>
      <c r="B258" s="504">
        <v>75814</v>
      </c>
      <c r="C258" s="492" t="s">
        <v>357</v>
      </c>
      <c r="D258" s="505"/>
      <c r="E258" s="449">
        <f t="shared" ref="E258:G258" si="56">SUM(E259,E261)</f>
        <v>2500000</v>
      </c>
      <c r="F258" s="449">
        <f t="shared" si="56"/>
        <v>2500000</v>
      </c>
      <c r="G258" s="449">
        <f t="shared" si="56"/>
        <v>2500000</v>
      </c>
      <c r="H258" s="450">
        <f t="shared" si="44"/>
        <v>1</v>
      </c>
      <c r="I258" s="449">
        <f>I259</f>
        <v>1000000</v>
      </c>
      <c r="J258" s="449">
        <f t="shared" si="42"/>
        <v>3500000</v>
      </c>
      <c r="K258" s="417">
        <f t="shared" si="43"/>
        <v>1.4</v>
      </c>
      <c r="L258" s="1058"/>
    </row>
    <row r="259" spans="1:12" s="842" customFormat="1">
      <c r="A259" s="2669"/>
      <c r="B259" s="2671" t="s">
        <v>219</v>
      </c>
      <c r="C259" s="2671"/>
      <c r="D259" s="1157"/>
      <c r="E259" s="394">
        <f>SUM(E260)</f>
        <v>2500000</v>
      </c>
      <c r="F259" s="394">
        <f>SUM(F260)</f>
        <v>2500000</v>
      </c>
      <c r="G259" s="394">
        <f>SUM(G260)</f>
        <v>2500000</v>
      </c>
      <c r="H259" s="395">
        <f t="shared" si="44"/>
        <v>1</v>
      </c>
      <c r="I259" s="394">
        <f>I260</f>
        <v>1000000</v>
      </c>
      <c r="J259" s="394">
        <f t="shared" si="42"/>
        <v>3500000</v>
      </c>
      <c r="K259" s="395">
        <f t="shared" si="43"/>
        <v>1.4</v>
      </c>
      <c r="L259" s="891"/>
    </row>
    <row r="260" spans="1:12" s="842" customFormat="1" ht="28.5" customHeight="1">
      <c r="A260" s="2669"/>
      <c r="B260" s="1158"/>
      <c r="C260" s="1176" t="s">
        <v>358</v>
      </c>
      <c r="D260" s="1177" t="s">
        <v>359</v>
      </c>
      <c r="E260" s="939">
        <v>2500000</v>
      </c>
      <c r="F260" s="939">
        <v>2500000</v>
      </c>
      <c r="G260" s="939">
        <v>2500000</v>
      </c>
      <c r="H260" s="940">
        <f t="shared" si="44"/>
        <v>1</v>
      </c>
      <c r="I260" s="939">
        <v>1000000</v>
      </c>
      <c r="J260" s="939">
        <f t="shared" si="42"/>
        <v>3500000</v>
      </c>
      <c r="K260" s="940">
        <f t="shared" si="43"/>
        <v>1.4</v>
      </c>
      <c r="L260" s="1045" t="s">
        <v>1011</v>
      </c>
    </row>
    <row r="261" spans="1:12" s="842" customFormat="1" ht="15.75" thickBot="1">
      <c r="A261" s="2669"/>
      <c r="B261" s="2672" t="s">
        <v>223</v>
      </c>
      <c r="C261" s="2672"/>
      <c r="D261" s="1161"/>
      <c r="E261" s="431">
        <v>0</v>
      </c>
      <c r="F261" s="431">
        <v>0</v>
      </c>
      <c r="G261" s="431">
        <v>0</v>
      </c>
      <c r="H261" s="432"/>
      <c r="I261" s="431"/>
      <c r="J261" s="431">
        <f t="shared" si="42"/>
        <v>0</v>
      </c>
      <c r="K261" s="432"/>
      <c r="L261" s="1178"/>
    </row>
    <row r="262" spans="1:12" s="842" customFormat="1" ht="15.75" thickBot="1">
      <c r="A262" s="2669"/>
      <c r="B262" s="494">
        <v>75833</v>
      </c>
      <c r="C262" s="489" t="s">
        <v>360</v>
      </c>
      <c r="D262" s="495"/>
      <c r="E262" s="392">
        <f t="shared" ref="E262:G262" si="57">SUM(E263,E265)</f>
        <v>65820170</v>
      </c>
      <c r="F262" s="392">
        <f t="shared" si="57"/>
        <v>70016962</v>
      </c>
      <c r="G262" s="392">
        <f t="shared" si="57"/>
        <v>70016962</v>
      </c>
      <c r="H262" s="393">
        <f t="shared" si="44"/>
        <v>1</v>
      </c>
      <c r="I262" s="392">
        <f>I263</f>
        <v>-1631051</v>
      </c>
      <c r="J262" s="392">
        <f t="shared" si="42"/>
        <v>68385911</v>
      </c>
      <c r="K262" s="393">
        <f t="shared" si="43"/>
        <v>0.97670491616017274</v>
      </c>
      <c r="L262" s="841"/>
    </row>
    <row r="263" spans="1:12" s="842" customFormat="1">
      <c r="A263" s="2669"/>
      <c r="B263" s="2671" t="s">
        <v>219</v>
      </c>
      <c r="C263" s="2661"/>
      <c r="D263" s="740"/>
      <c r="E263" s="394">
        <f>SUM(E264)</f>
        <v>65820170</v>
      </c>
      <c r="F263" s="394">
        <f>SUM(F264)</f>
        <v>70016962</v>
      </c>
      <c r="G263" s="394">
        <f>SUM(G264)</f>
        <v>70016962</v>
      </c>
      <c r="H263" s="395">
        <f t="shared" si="44"/>
        <v>1</v>
      </c>
      <c r="I263" s="394">
        <f>I264</f>
        <v>-1631051</v>
      </c>
      <c r="J263" s="394">
        <f t="shared" si="42"/>
        <v>68385911</v>
      </c>
      <c r="K263" s="395">
        <f t="shared" si="43"/>
        <v>0.97670491616017274</v>
      </c>
      <c r="L263" s="891"/>
    </row>
    <row r="264" spans="1:12" s="842" customFormat="1" ht="28.5" customHeight="1">
      <c r="A264" s="2669"/>
      <c r="B264" s="1158"/>
      <c r="C264" s="1179" t="s">
        <v>353</v>
      </c>
      <c r="D264" s="1177" t="s">
        <v>361</v>
      </c>
      <c r="E264" s="939">
        <v>65820170</v>
      </c>
      <c r="F264" s="939">
        <v>70016962</v>
      </c>
      <c r="G264" s="939">
        <v>70016962</v>
      </c>
      <c r="H264" s="940">
        <f t="shared" si="44"/>
        <v>1</v>
      </c>
      <c r="I264" s="939">
        <v>-1631051</v>
      </c>
      <c r="J264" s="939">
        <f t="shared" si="42"/>
        <v>68385911</v>
      </c>
      <c r="K264" s="940">
        <f t="shared" si="43"/>
        <v>0.97670491616017274</v>
      </c>
      <c r="L264" s="1019" t="s">
        <v>1007</v>
      </c>
    </row>
    <row r="265" spans="1:12" s="842" customFormat="1">
      <c r="A265" s="2669"/>
      <c r="B265" s="2659" t="s">
        <v>223</v>
      </c>
      <c r="C265" s="2660"/>
      <c r="D265" s="1175"/>
      <c r="E265" s="966">
        <v>0</v>
      </c>
      <c r="F265" s="966">
        <v>0</v>
      </c>
      <c r="G265" s="966">
        <v>0</v>
      </c>
      <c r="H265" s="968"/>
      <c r="I265" s="966"/>
      <c r="J265" s="966">
        <f t="shared" si="42"/>
        <v>0</v>
      </c>
      <c r="K265" s="968"/>
      <c r="L265" s="863"/>
    </row>
    <row r="266" spans="1:12" s="842" customFormat="1" ht="45.75" customHeight="1" thickBot="1">
      <c r="A266" s="2669"/>
      <c r="B266" s="524">
        <v>75863</v>
      </c>
      <c r="C266" s="492" t="s">
        <v>362</v>
      </c>
      <c r="D266" s="1180"/>
      <c r="E266" s="449">
        <f>SUM(E267,E272)</f>
        <v>383128797</v>
      </c>
      <c r="F266" s="449">
        <f>SUM(F267,F272)</f>
        <v>400398532</v>
      </c>
      <c r="G266" s="449">
        <f>SUM(G267,G272)</f>
        <v>177511364</v>
      </c>
      <c r="H266" s="450">
        <f t="shared" si="44"/>
        <v>0.44333670034534495</v>
      </c>
      <c r="I266" s="449">
        <f>I267+I272</f>
        <v>35168318</v>
      </c>
      <c r="J266" s="449">
        <f t="shared" si="42"/>
        <v>212679682</v>
      </c>
      <c r="K266" s="450">
        <f t="shared" si="43"/>
        <v>0.5311699844094333</v>
      </c>
      <c r="L266" s="1181"/>
    </row>
    <row r="267" spans="1:12" s="842" customFormat="1">
      <c r="A267" s="2669"/>
      <c r="B267" s="2661" t="s">
        <v>219</v>
      </c>
      <c r="C267" s="2661"/>
      <c r="D267" s="1182"/>
      <c r="E267" s="461">
        <f>SUM(E268:E271)</f>
        <v>42065085</v>
      </c>
      <c r="F267" s="461">
        <f>SUM(F268:F271)</f>
        <v>47119549</v>
      </c>
      <c r="G267" s="461">
        <f>SUM(G268:G271)</f>
        <v>28709327</v>
      </c>
      <c r="H267" s="462">
        <f t="shared" si="44"/>
        <v>0.60928696494951595</v>
      </c>
      <c r="I267" s="461">
        <f>I271</f>
        <v>166861</v>
      </c>
      <c r="J267" s="461">
        <f t="shared" si="42"/>
        <v>28876188</v>
      </c>
      <c r="K267" s="462">
        <f t="shared" si="43"/>
        <v>0.61282819154317458</v>
      </c>
      <c r="L267" s="862"/>
    </row>
    <row r="268" spans="1:12" s="984" customFormat="1" ht="40.5" customHeight="1">
      <c r="A268" s="2669"/>
      <c r="B268" s="2662"/>
      <c r="C268" s="1183" t="s">
        <v>363</v>
      </c>
      <c r="D268" s="1165">
        <v>2007</v>
      </c>
      <c r="E268" s="404">
        <v>37356649</v>
      </c>
      <c r="F268" s="404">
        <v>40552168</v>
      </c>
      <c r="G268" s="404">
        <v>22578831</v>
      </c>
      <c r="H268" s="405">
        <f t="shared" si="44"/>
        <v>0.55678480617855008</v>
      </c>
      <c r="I268" s="404"/>
      <c r="J268" s="404">
        <f t="shared" si="42"/>
        <v>22578831</v>
      </c>
      <c r="K268" s="405">
        <f t="shared" si="43"/>
        <v>0.55678480617855008</v>
      </c>
      <c r="L268" s="851"/>
    </row>
    <row r="269" spans="1:12" s="984" customFormat="1" ht="41.25" hidden="1" customHeight="1">
      <c r="A269" s="2669"/>
      <c r="B269" s="2663"/>
      <c r="C269" s="1184" t="s">
        <v>364</v>
      </c>
      <c r="D269" s="1185">
        <v>2009</v>
      </c>
      <c r="E269" s="404">
        <v>0</v>
      </c>
      <c r="F269" s="404">
        <v>0</v>
      </c>
      <c r="G269" s="404">
        <v>0</v>
      </c>
      <c r="H269" s="405" t="e">
        <f t="shared" si="44"/>
        <v>#DIV/0!</v>
      </c>
      <c r="I269" s="404"/>
      <c r="J269" s="404">
        <f t="shared" ref="J269:J332" si="58">G269+I269</f>
        <v>0</v>
      </c>
      <c r="K269" s="405" t="e">
        <f t="shared" ref="K269:K332" si="59">J269/F269</f>
        <v>#DIV/0!</v>
      </c>
      <c r="L269" s="851"/>
    </row>
    <row r="270" spans="1:12" s="984" customFormat="1" ht="5.25" hidden="1" customHeight="1">
      <c r="A270" s="2669"/>
      <c r="B270" s="2663"/>
      <c r="C270" s="1184" t="s">
        <v>365</v>
      </c>
      <c r="D270" s="2664">
        <v>2057</v>
      </c>
      <c r="E270" s="404">
        <v>0</v>
      </c>
      <c r="F270" s="404">
        <v>0</v>
      </c>
      <c r="G270" s="404">
        <v>0</v>
      </c>
      <c r="H270" s="405" t="e">
        <f t="shared" si="44"/>
        <v>#DIV/0!</v>
      </c>
      <c r="I270" s="404"/>
      <c r="J270" s="404">
        <f t="shared" si="58"/>
        <v>0</v>
      </c>
      <c r="K270" s="405" t="e">
        <f t="shared" si="59"/>
        <v>#DIV/0!</v>
      </c>
      <c r="L270" s="851"/>
    </row>
    <row r="271" spans="1:12" s="842" customFormat="1" ht="37.5" customHeight="1">
      <c r="A271" s="2669"/>
      <c r="B271" s="2663"/>
      <c r="C271" s="1183" t="s">
        <v>363</v>
      </c>
      <c r="D271" s="2665"/>
      <c r="E271" s="939">
        <v>4708436</v>
      </c>
      <c r="F271" s="939">
        <v>6567381</v>
      </c>
      <c r="G271" s="939">
        <v>6130496</v>
      </c>
      <c r="H271" s="940">
        <f t="shared" si="44"/>
        <v>0.93347652587842855</v>
      </c>
      <c r="I271" s="939">
        <v>166861</v>
      </c>
      <c r="J271" s="939">
        <f t="shared" si="58"/>
        <v>6297357</v>
      </c>
      <c r="K271" s="940">
        <f t="shared" si="59"/>
        <v>0.95888406657082936</v>
      </c>
      <c r="L271" s="856"/>
    </row>
    <row r="272" spans="1:12" s="842" customFormat="1">
      <c r="A272" s="2669"/>
      <c r="B272" s="2659" t="s">
        <v>229</v>
      </c>
      <c r="C272" s="2660"/>
      <c r="D272" s="1186"/>
      <c r="E272" s="966">
        <f>SUM(E273:E278)</f>
        <v>341063712</v>
      </c>
      <c r="F272" s="966">
        <f>SUM(F273:F278)</f>
        <v>353278983</v>
      </c>
      <c r="G272" s="966">
        <f>SUM(G273:G278)</f>
        <v>148802037</v>
      </c>
      <c r="H272" s="968">
        <f t="shared" si="44"/>
        <v>0.42120263066993713</v>
      </c>
      <c r="I272" s="966">
        <f>I273+I275</f>
        <v>35001457</v>
      </c>
      <c r="J272" s="966">
        <f t="shared" si="58"/>
        <v>183803494</v>
      </c>
      <c r="K272" s="968">
        <f t="shared" si="59"/>
        <v>0.52027859806197418</v>
      </c>
      <c r="L272" s="863"/>
    </row>
    <row r="273" spans="1:12" s="984" customFormat="1" ht="43.5" customHeight="1">
      <c r="A273" s="2669"/>
      <c r="B273" s="2662"/>
      <c r="C273" s="1164" t="s">
        <v>363</v>
      </c>
      <c r="D273" s="1165">
        <v>6207</v>
      </c>
      <c r="E273" s="962">
        <v>5856425</v>
      </c>
      <c r="F273" s="962">
        <v>26284038</v>
      </c>
      <c r="G273" s="962">
        <v>4866306</v>
      </c>
      <c r="H273" s="1033">
        <f t="shared" si="44"/>
        <v>0.18514301341369238</v>
      </c>
      <c r="I273" s="962">
        <v>23759020</v>
      </c>
      <c r="J273" s="962">
        <f t="shared" si="58"/>
        <v>28625326</v>
      </c>
      <c r="K273" s="1033">
        <f t="shared" si="59"/>
        <v>1.0890764196886338</v>
      </c>
      <c r="L273" s="959"/>
    </row>
    <row r="274" spans="1:12" s="842" customFormat="1" ht="42.75" customHeight="1">
      <c r="A274" s="2669"/>
      <c r="B274" s="2663"/>
      <c r="C274" s="1164" t="s">
        <v>366</v>
      </c>
      <c r="D274" s="1165">
        <v>6209</v>
      </c>
      <c r="E274" s="939">
        <v>17186840</v>
      </c>
      <c r="F274" s="939">
        <v>17186840</v>
      </c>
      <c r="G274" s="939">
        <v>33524000</v>
      </c>
      <c r="H274" s="940">
        <f t="shared" si="44"/>
        <v>1.9505621743147663</v>
      </c>
      <c r="I274" s="939"/>
      <c r="J274" s="939">
        <f t="shared" si="58"/>
        <v>33524000</v>
      </c>
      <c r="K274" s="940">
        <f t="shared" si="59"/>
        <v>1.9505621743147663</v>
      </c>
      <c r="L274" s="856"/>
    </row>
    <row r="275" spans="1:12" s="842" customFormat="1" ht="44.25" customHeight="1" thickBot="1">
      <c r="A275" s="2669"/>
      <c r="B275" s="2663"/>
      <c r="C275" s="1187" t="s">
        <v>363</v>
      </c>
      <c r="D275" s="2664">
        <v>6257</v>
      </c>
      <c r="E275" s="939">
        <v>290748244</v>
      </c>
      <c r="F275" s="939">
        <v>281854415</v>
      </c>
      <c r="G275" s="939">
        <v>110411731</v>
      </c>
      <c r="H275" s="940">
        <f t="shared" si="44"/>
        <v>0.39173319672853091</v>
      </c>
      <c r="I275" s="939">
        <v>11242437</v>
      </c>
      <c r="J275" s="939">
        <f t="shared" si="58"/>
        <v>121654168</v>
      </c>
      <c r="K275" s="940">
        <f t="shared" si="59"/>
        <v>0.43162058681961751</v>
      </c>
      <c r="L275" s="856"/>
    </row>
    <row r="276" spans="1:12" s="842" customFormat="1" ht="55.5" hidden="1" customHeight="1">
      <c r="A276" s="2669"/>
      <c r="B276" s="2663"/>
      <c r="C276" s="1188" t="s">
        <v>365</v>
      </c>
      <c r="D276" s="2665"/>
      <c r="E276" s="939">
        <v>18315196</v>
      </c>
      <c r="F276" s="939">
        <v>18795437</v>
      </c>
      <c r="G276" s="939">
        <v>0</v>
      </c>
      <c r="H276" s="940">
        <f t="shared" si="44"/>
        <v>0</v>
      </c>
      <c r="I276" s="939"/>
      <c r="J276" s="939">
        <f t="shared" si="58"/>
        <v>0</v>
      </c>
      <c r="K276" s="940">
        <f t="shared" si="59"/>
        <v>0</v>
      </c>
      <c r="L276" s="1189"/>
    </row>
    <row r="277" spans="1:12" s="842" customFormat="1" ht="48" hidden="1" customHeight="1">
      <c r="A277" s="2669"/>
      <c r="B277" s="2663"/>
      <c r="C277" s="1190" t="s">
        <v>367</v>
      </c>
      <c r="D277" s="2664">
        <v>6259</v>
      </c>
      <c r="E277" s="962">
        <v>0</v>
      </c>
      <c r="F277" s="962">
        <v>0</v>
      </c>
      <c r="G277" s="962">
        <v>0</v>
      </c>
      <c r="H277" s="940"/>
      <c r="I277" s="962"/>
      <c r="J277" s="962">
        <f t="shared" si="58"/>
        <v>0</v>
      </c>
      <c r="K277" s="1033" t="e">
        <f t="shared" si="59"/>
        <v>#DIV/0!</v>
      </c>
      <c r="L277" s="959"/>
    </row>
    <row r="278" spans="1:12" s="842" customFormat="1" ht="45" hidden="1" customHeight="1" thickBot="1">
      <c r="A278" s="2669"/>
      <c r="B278" s="2666"/>
      <c r="C278" s="1191" t="s">
        <v>368</v>
      </c>
      <c r="D278" s="2667"/>
      <c r="E278" s="434">
        <v>8957007</v>
      </c>
      <c r="F278" s="434">
        <v>9158253</v>
      </c>
      <c r="G278" s="434">
        <v>0</v>
      </c>
      <c r="H278" s="435">
        <f t="shared" si="44"/>
        <v>0</v>
      </c>
      <c r="I278" s="434"/>
      <c r="J278" s="434">
        <f t="shared" si="58"/>
        <v>0</v>
      </c>
      <c r="K278" s="435">
        <f t="shared" si="59"/>
        <v>0</v>
      </c>
      <c r="L278" s="1192"/>
    </row>
    <row r="279" spans="1:12" s="842" customFormat="1" ht="29.25" customHeight="1" thickBot="1">
      <c r="A279" s="2669"/>
      <c r="B279" s="494">
        <v>75864</v>
      </c>
      <c r="C279" s="489" t="s">
        <v>369</v>
      </c>
      <c r="D279" s="495"/>
      <c r="E279" s="416">
        <f t="shared" ref="E279" si="60">SUM(E280,E286)</f>
        <v>80714126</v>
      </c>
      <c r="F279" s="416">
        <f>SUM(F280,F286)</f>
        <v>86943586</v>
      </c>
      <c r="G279" s="416">
        <f t="shared" ref="G279" si="61">SUM(G280,G286)</f>
        <v>85593596</v>
      </c>
      <c r="H279" s="417">
        <f t="shared" ref="H279:H343" si="62">G279/F279</f>
        <v>0.98447280515896829</v>
      </c>
      <c r="I279" s="416"/>
      <c r="J279" s="416">
        <f t="shared" si="58"/>
        <v>85593596</v>
      </c>
      <c r="K279" s="417">
        <f t="shared" si="59"/>
        <v>0.98447280515896829</v>
      </c>
      <c r="L279" s="1058"/>
    </row>
    <row r="280" spans="1:12" s="842" customFormat="1">
      <c r="A280" s="2669"/>
      <c r="B280" s="2661" t="s">
        <v>219</v>
      </c>
      <c r="C280" s="2671"/>
      <c r="D280" s="1157"/>
      <c r="E280" s="394">
        <f>SUM(E281:E285)</f>
        <v>79615626</v>
      </c>
      <c r="F280" s="394">
        <f>SUM(F281:F285)</f>
        <v>85626983</v>
      </c>
      <c r="G280" s="394">
        <f>SUM(G281:G285)</f>
        <v>82744964</v>
      </c>
      <c r="H280" s="395">
        <f t="shared" si="62"/>
        <v>0.96634216342761958</v>
      </c>
      <c r="I280" s="394"/>
      <c r="J280" s="394">
        <f t="shared" si="58"/>
        <v>82744964</v>
      </c>
      <c r="K280" s="395">
        <f t="shared" si="59"/>
        <v>0.96634216342761958</v>
      </c>
      <c r="L280" s="891"/>
    </row>
    <row r="281" spans="1:12" s="984" customFormat="1" ht="42.75" customHeight="1">
      <c r="A281" s="2669"/>
      <c r="B281" s="2662"/>
      <c r="C281" s="1187" t="s">
        <v>363</v>
      </c>
      <c r="D281" s="1173">
        <v>2007</v>
      </c>
      <c r="E281" s="939">
        <v>0</v>
      </c>
      <c r="F281" s="939">
        <v>230000</v>
      </c>
      <c r="G281" s="939">
        <v>880000</v>
      </c>
      <c r="H281" s="940">
        <f t="shared" si="62"/>
        <v>3.8260869565217392</v>
      </c>
      <c r="I281" s="939"/>
      <c r="J281" s="939">
        <f t="shared" si="58"/>
        <v>880000</v>
      </c>
      <c r="K281" s="940">
        <f t="shared" si="59"/>
        <v>3.8260869565217392</v>
      </c>
      <c r="L281" s="856"/>
    </row>
    <row r="282" spans="1:12" s="984" customFormat="1" ht="48.75" customHeight="1">
      <c r="A282" s="2669"/>
      <c r="B282" s="2663"/>
      <c r="C282" s="1188" t="s">
        <v>370</v>
      </c>
      <c r="D282" s="1165">
        <v>2009</v>
      </c>
      <c r="E282" s="406">
        <v>32135801</v>
      </c>
      <c r="F282" s="406">
        <v>35604400</v>
      </c>
      <c r="G282" s="406">
        <v>31947909</v>
      </c>
      <c r="H282" s="407">
        <f t="shared" si="62"/>
        <v>0.89730227162934917</v>
      </c>
      <c r="I282" s="406"/>
      <c r="J282" s="406">
        <f t="shared" si="58"/>
        <v>31947909</v>
      </c>
      <c r="K282" s="407">
        <f t="shared" si="59"/>
        <v>0.89730227162934917</v>
      </c>
      <c r="L282" s="867"/>
    </row>
    <row r="283" spans="1:12" s="984" customFormat="1" ht="42.75" customHeight="1">
      <c r="A283" s="2669"/>
      <c r="B283" s="2663"/>
      <c r="C283" s="1193" t="s">
        <v>363</v>
      </c>
      <c r="D283" s="1185">
        <v>2057</v>
      </c>
      <c r="E283" s="939">
        <v>2332368</v>
      </c>
      <c r="F283" s="939">
        <v>4448784</v>
      </c>
      <c r="G283" s="939">
        <v>3660079</v>
      </c>
      <c r="H283" s="940">
        <f t="shared" si="62"/>
        <v>0.82271447658506236</v>
      </c>
      <c r="I283" s="939"/>
      <c r="J283" s="939">
        <f t="shared" si="58"/>
        <v>3660079</v>
      </c>
      <c r="K283" s="940">
        <f t="shared" si="59"/>
        <v>0.82271447658506236</v>
      </c>
      <c r="L283" s="856"/>
    </row>
    <row r="284" spans="1:12" s="842" customFormat="1" ht="42" customHeight="1">
      <c r="A284" s="2669"/>
      <c r="B284" s="2663"/>
      <c r="C284" s="1194" t="s">
        <v>371</v>
      </c>
      <c r="D284" s="737">
        <v>2058</v>
      </c>
      <c r="E284" s="406">
        <v>44998258</v>
      </c>
      <c r="F284" s="406">
        <v>44947258</v>
      </c>
      <c r="G284" s="406">
        <v>45840885</v>
      </c>
      <c r="H284" s="407">
        <f t="shared" si="62"/>
        <v>1.0198816799903567</v>
      </c>
      <c r="I284" s="406"/>
      <c r="J284" s="406">
        <f t="shared" si="58"/>
        <v>45840885</v>
      </c>
      <c r="K284" s="407">
        <f t="shared" si="59"/>
        <v>1.0198816799903567</v>
      </c>
      <c r="L284" s="867"/>
    </row>
    <row r="285" spans="1:12" s="842" customFormat="1" ht="42" customHeight="1">
      <c r="A285" s="2669"/>
      <c r="B285" s="2663"/>
      <c r="C285" s="1183" t="s">
        <v>372</v>
      </c>
      <c r="D285" s="1165">
        <v>2059</v>
      </c>
      <c r="E285" s="939">
        <v>149199</v>
      </c>
      <c r="F285" s="939">
        <v>396541</v>
      </c>
      <c r="G285" s="939">
        <v>416091</v>
      </c>
      <c r="H285" s="940">
        <f t="shared" si="62"/>
        <v>1.0493013332795347</v>
      </c>
      <c r="I285" s="939"/>
      <c r="J285" s="939">
        <f t="shared" si="58"/>
        <v>416091</v>
      </c>
      <c r="K285" s="940">
        <f t="shared" si="59"/>
        <v>1.0493013332795347</v>
      </c>
      <c r="L285" s="856"/>
    </row>
    <row r="286" spans="1:12" s="842" customFormat="1">
      <c r="A286" s="2669"/>
      <c r="B286" s="2659" t="s">
        <v>229</v>
      </c>
      <c r="C286" s="2660"/>
      <c r="D286" s="1195"/>
      <c r="E286" s="431">
        <f>SUM(E287:E290)</f>
        <v>1098500</v>
      </c>
      <c r="F286" s="431">
        <f t="shared" ref="F286:G286" si="63">SUM(F287:F290)</f>
        <v>1316603</v>
      </c>
      <c r="G286" s="431">
        <f t="shared" si="63"/>
        <v>2848632</v>
      </c>
      <c r="H286" s="432">
        <f t="shared" si="62"/>
        <v>2.1636225954217028</v>
      </c>
      <c r="I286" s="431"/>
      <c r="J286" s="431">
        <f t="shared" si="58"/>
        <v>2848632</v>
      </c>
      <c r="K286" s="432">
        <f t="shared" si="59"/>
        <v>2.1636225954217028</v>
      </c>
      <c r="L286" s="1178"/>
    </row>
    <row r="287" spans="1:12" s="984" customFormat="1" ht="50.25" customHeight="1">
      <c r="A287" s="2669"/>
      <c r="B287" s="1196"/>
      <c r="C287" s="1194" t="s">
        <v>370</v>
      </c>
      <c r="D287" s="1185">
        <v>6209</v>
      </c>
      <c r="E287" s="939">
        <v>852000</v>
      </c>
      <c r="F287" s="939">
        <v>904102</v>
      </c>
      <c r="G287" s="939">
        <v>1234631</v>
      </c>
      <c r="H287" s="940">
        <f t="shared" si="62"/>
        <v>1.3655881747855882</v>
      </c>
      <c r="I287" s="939"/>
      <c r="J287" s="939">
        <f t="shared" si="58"/>
        <v>1234631</v>
      </c>
      <c r="K287" s="940">
        <f t="shared" si="59"/>
        <v>1.3655881747855882</v>
      </c>
      <c r="L287" s="856"/>
    </row>
    <row r="288" spans="1:12" s="984" customFormat="1" ht="42.75" customHeight="1">
      <c r="A288" s="2669"/>
      <c r="B288" s="1197"/>
      <c r="C288" s="1183" t="s">
        <v>363</v>
      </c>
      <c r="D288" s="1173">
        <v>6257</v>
      </c>
      <c r="E288" s="939">
        <v>0</v>
      </c>
      <c r="F288" s="939">
        <v>102895</v>
      </c>
      <c r="G288" s="939">
        <v>1337632</v>
      </c>
      <c r="H288" s="940">
        <f t="shared" si="62"/>
        <v>12.999970844064338</v>
      </c>
      <c r="I288" s="939"/>
      <c r="J288" s="939">
        <f t="shared" si="58"/>
        <v>1337632</v>
      </c>
      <c r="K288" s="940">
        <f t="shared" si="59"/>
        <v>12.999970844064338</v>
      </c>
      <c r="L288" s="856"/>
    </row>
    <row r="289" spans="1:12" s="984" customFormat="1" ht="45" customHeight="1">
      <c r="A289" s="2669"/>
      <c r="B289" s="1197"/>
      <c r="C289" s="1198" t="s">
        <v>373</v>
      </c>
      <c r="D289" s="1165">
        <v>6258</v>
      </c>
      <c r="E289" s="939">
        <v>246500</v>
      </c>
      <c r="F289" s="939">
        <v>297500</v>
      </c>
      <c r="G289" s="939">
        <v>119000</v>
      </c>
      <c r="H289" s="940">
        <f t="shared" si="62"/>
        <v>0.4</v>
      </c>
      <c r="I289" s="939"/>
      <c r="J289" s="939">
        <f t="shared" si="58"/>
        <v>119000</v>
      </c>
      <c r="K289" s="940">
        <f t="shared" si="59"/>
        <v>0.4</v>
      </c>
      <c r="L289" s="856"/>
    </row>
    <row r="290" spans="1:12" s="984" customFormat="1" ht="41.25" customHeight="1" thickBot="1">
      <c r="A290" s="1199"/>
      <c r="B290" s="1200"/>
      <c r="C290" s="1201" t="s">
        <v>372</v>
      </c>
      <c r="D290" s="1202">
        <v>6259</v>
      </c>
      <c r="E290" s="406">
        <v>0</v>
      </c>
      <c r="F290" s="406">
        <v>12106</v>
      </c>
      <c r="G290" s="406">
        <v>157369</v>
      </c>
      <c r="H290" s="407">
        <f t="shared" si="62"/>
        <v>12.999256566991575</v>
      </c>
      <c r="I290" s="406"/>
      <c r="J290" s="406">
        <f t="shared" si="58"/>
        <v>157369</v>
      </c>
      <c r="K290" s="407">
        <f t="shared" si="59"/>
        <v>12.999256566991575</v>
      </c>
      <c r="L290" s="867"/>
    </row>
    <row r="291" spans="1:12" s="1203" customFormat="1" ht="16.5" customHeight="1" thickBot="1">
      <c r="A291" s="519">
        <v>801</v>
      </c>
      <c r="B291" s="496"/>
      <c r="C291" s="487" t="s">
        <v>374</v>
      </c>
      <c r="D291" s="497"/>
      <c r="E291" s="387">
        <f>SUM(E292,E300,E305,E316,E296,E322)</f>
        <v>225000</v>
      </c>
      <c r="F291" s="387">
        <f>SUM(F292,F300,F305,F316,F296,F322)</f>
        <v>1536974</v>
      </c>
      <c r="G291" s="387">
        <f>SUM(G292,G300,G305,G316,G296,G322)</f>
        <v>40400</v>
      </c>
      <c r="H291" s="388">
        <f t="shared" si="62"/>
        <v>2.6285415368119434E-2</v>
      </c>
      <c r="I291" s="387">
        <f>I305</f>
        <v>57960</v>
      </c>
      <c r="J291" s="387">
        <f t="shared" si="58"/>
        <v>98360</v>
      </c>
      <c r="K291" s="388">
        <f t="shared" si="59"/>
        <v>6.3995877614065041E-2</v>
      </c>
      <c r="L291" s="388"/>
    </row>
    <row r="292" spans="1:12" s="1204" customFormat="1" ht="15.75" thickBot="1">
      <c r="A292" s="2677"/>
      <c r="B292" s="498">
        <v>80102</v>
      </c>
      <c r="C292" s="499" t="s">
        <v>375</v>
      </c>
      <c r="D292" s="500"/>
      <c r="E292" s="392">
        <f>SUM(E293,E295)</f>
        <v>2500</v>
      </c>
      <c r="F292" s="392">
        <f>SUM(F293,F295)</f>
        <v>2500</v>
      </c>
      <c r="G292" s="392">
        <f>SUM(G293,G295)</f>
        <v>2500</v>
      </c>
      <c r="H292" s="393">
        <f t="shared" si="62"/>
        <v>1</v>
      </c>
      <c r="I292" s="392"/>
      <c r="J292" s="392">
        <f t="shared" si="58"/>
        <v>2500</v>
      </c>
      <c r="K292" s="393">
        <f t="shared" si="59"/>
        <v>1</v>
      </c>
      <c r="L292" s="393"/>
    </row>
    <row r="293" spans="1:12" s="842" customFormat="1">
      <c r="A293" s="2678"/>
      <c r="B293" s="2671" t="s">
        <v>219</v>
      </c>
      <c r="C293" s="2671"/>
      <c r="D293" s="1157"/>
      <c r="E293" s="394">
        <f>SUM(E294:E294)</f>
        <v>2500</v>
      </c>
      <c r="F293" s="394">
        <f>SUM(F294:F294)</f>
        <v>2500</v>
      </c>
      <c r="G293" s="394">
        <f>SUM(G294:G294)</f>
        <v>2500</v>
      </c>
      <c r="H293" s="395">
        <f t="shared" si="62"/>
        <v>1</v>
      </c>
      <c r="I293" s="394"/>
      <c r="J293" s="394">
        <f t="shared" si="58"/>
        <v>2500</v>
      </c>
      <c r="K293" s="395">
        <f t="shared" si="59"/>
        <v>1</v>
      </c>
      <c r="L293" s="395"/>
    </row>
    <row r="294" spans="1:12" s="842" customFormat="1" ht="17.25" customHeight="1">
      <c r="A294" s="2678"/>
      <c r="B294" s="1205"/>
      <c r="C294" s="1206" t="s">
        <v>376</v>
      </c>
      <c r="D294" s="1021" t="s">
        <v>222</v>
      </c>
      <c r="E294" s="939">
        <v>2500</v>
      </c>
      <c r="F294" s="939">
        <v>2500</v>
      </c>
      <c r="G294" s="939">
        <v>2500</v>
      </c>
      <c r="H294" s="940">
        <f t="shared" si="62"/>
        <v>1</v>
      </c>
      <c r="I294" s="939"/>
      <c r="J294" s="939">
        <f t="shared" si="58"/>
        <v>2500</v>
      </c>
      <c r="K294" s="940">
        <f t="shared" si="59"/>
        <v>1</v>
      </c>
      <c r="L294" s="940"/>
    </row>
    <row r="295" spans="1:12" s="842" customFormat="1" ht="15.75" thickBot="1">
      <c r="A295" s="2678"/>
      <c r="B295" s="2679" t="s">
        <v>223</v>
      </c>
      <c r="C295" s="2680"/>
      <c r="D295" s="1207"/>
      <c r="E295" s="429">
        <v>0</v>
      </c>
      <c r="F295" s="429">
        <v>0</v>
      </c>
      <c r="G295" s="429">
        <v>0</v>
      </c>
      <c r="H295" s="430"/>
      <c r="I295" s="429"/>
      <c r="J295" s="429">
        <f t="shared" si="58"/>
        <v>0</v>
      </c>
      <c r="K295" s="430"/>
      <c r="L295" s="430"/>
    </row>
    <row r="296" spans="1:12" s="842" customFormat="1" ht="15.75" hidden="1" customHeight="1" thickBot="1">
      <c r="A296" s="2678"/>
      <c r="B296" s="1208">
        <v>80116</v>
      </c>
      <c r="C296" s="1209" t="s">
        <v>377</v>
      </c>
      <c r="D296" s="1210"/>
      <c r="E296" s="840">
        <f>E297+E299</f>
        <v>0</v>
      </c>
      <c r="F296" s="840">
        <f t="shared" ref="F296:G296" si="64">F297+F299</f>
        <v>0</v>
      </c>
      <c r="G296" s="840">
        <f t="shared" si="64"/>
        <v>0</v>
      </c>
      <c r="H296" s="841"/>
      <c r="I296" s="840"/>
      <c r="J296" s="840">
        <f t="shared" si="58"/>
        <v>0</v>
      </c>
      <c r="K296" s="841" t="e">
        <f t="shared" si="59"/>
        <v>#DIV/0!</v>
      </c>
      <c r="L296" s="841"/>
    </row>
    <row r="297" spans="1:12" s="842" customFormat="1" ht="15.75" hidden="1" customHeight="1" thickBot="1">
      <c r="A297" s="2678"/>
      <c r="B297" s="2681" t="s">
        <v>219</v>
      </c>
      <c r="C297" s="2681"/>
      <c r="D297" s="1211"/>
      <c r="E297" s="844">
        <f>SUM(E298:E298)</f>
        <v>0</v>
      </c>
      <c r="F297" s="844">
        <f t="shared" ref="F297:G297" si="65">SUM(F298:F298)</f>
        <v>0</v>
      </c>
      <c r="G297" s="844">
        <f t="shared" si="65"/>
        <v>0</v>
      </c>
      <c r="H297" s="845"/>
      <c r="I297" s="844"/>
      <c r="J297" s="844">
        <f t="shared" si="58"/>
        <v>0</v>
      </c>
      <c r="K297" s="845" t="e">
        <f t="shared" si="59"/>
        <v>#DIV/0!</v>
      </c>
      <c r="L297" s="845"/>
    </row>
    <row r="298" spans="1:12" s="842" customFormat="1" ht="33" hidden="1" customHeight="1">
      <c r="A298" s="2678"/>
      <c r="B298" s="1212"/>
      <c r="C298" s="1213" t="s">
        <v>317</v>
      </c>
      <c r="D298" s="1214">
        <v>2230</v>
      </c>
      <c r="E298" s="848">
        <v>0</v>
      </c>
      <c r="F298" s="848">
        <v>0</v>
      </c>
      <c r="G298" s="848">
        <v>0</v>
      </c>
      <c r="H298" s="850" t="e">
        <f>G298/F298</f>
        <v>#DIV/0!</v>
      </c>
      <c r="I298" s="848"/>
      <c r="J298" s="848">
        <f t="shared" si="58"/>
        <v>0</v>
      </c>
      <c r="K298" s="850" t="e">
        <f t="shared" si="59"/>
        <v>#DIV/0!</v>
      </c>
      <c r="L298" s="850"/>
    </row>
    <row r="299" spans="1:12" s="842" customFormat="1" ht="15.75" hidden="1" customHeight="1" thickBot="1">
      <c r="A299" s="2678"/>
      <c r="B299" s="2682" t="s">
        <v>223</v>
      </c>
      <c r="C299" s="2683"/>
      <c r="D299" s="1215"/>
      <c r="E299" s="861">
        <v>0</v>
      </c>
      <c r="F299" s="861">
        <v>0</v>
      </c>
      <c r="G299" s="861">
        <v>0</v>
      </c>
      <c r="H299" s="863"/>
      <c r="I299" s="861"/>
      <c r="J299" s="861">
        <f t="shared" si="58"/>
        <v>0</v>
      </c>
      <c r="K299" s="863" t="e">
        <f t="shared" si="59"/>
        <v>#DIV/0!</v>
      </c>
      <c r="L299" s="863"/>
    </row>
    <row r="300" spans="1:12" s="1204" customFormat="1" ht="15.75" thickBot="1">
      <c r="A300" s="2678"/>
      <c r="B300" s="1216">
        <v>80130</v>
      </c>
      <c r="C300" s="1217" t="s">
        <v>378</v>
      </c>
      <c r="D300" s="1218"/>
      <c r="E300" s="413">
        <f>SUM(E301,E304)</f>
        <v>6400</v>
      </c>
      <c r="F300" s="413">
        <f>SUM(F301,F304)</f>
        <v>6400</v>
      </c>
      <c r="G300" s="413">
        <f>SUM(G301,G304)</f>
        <v>6950</v>
      </c>
      <c r="H300" s="414">
        <f t="shared" si="62"/>
        <v>1.0859375</v>
      </c>
      <c r="I300" s="413"/>
      <c r="J300" s="413">
        <f t="shared" si="58"/>
        <v>6950</v>
      </c>
      <c r="K300" s="414">
        <f t="shared" si="59"/>
        <v>1.0859375</v>
      </c>
      <c r="L300" s="414"/>
    </row>
    <row r="301" spans="1:12" s="842" customFormat="1">
      <c r="A301" s="2678"/>
      <c r="B301" s="2671" t="s">
        <v>219</v>
      </c>
      <c r="C301" s="2671"/>
      <c r="D301" s="740"/>
      <c r="E301" s="394">
        <f>SUM(E302:E303)</f>
        <v>6400</v>
      </c>
      <c r="F301" s="394">
        <f>SUM(F302:F303)</f>
        <v>6400</v>
      </c>
      <c r="G301" s="394">
        <f>SUM(G302:G303)</f>
        <v>6950</v>
      </c>
      <c r="H301" s="395">
        <f>G301/F301</f>
        <v>1.0859375</v>
      </c>
      <c r="I301" s="394"/>
      <c r="J301" s="394">
        <f t="shared" si="58"/>
        <v>6950</v>
      </c>
      <c r="K301" s="395">
        <f t="shared" si="59"/>
        <v>1.0859375</v>
      </c>
      <c r="L301" s="395"/>
    </row>
    <row r="302" spans="1:12" s="842" customFormat="1" ht="18" hidden="1" customHeight="1">
      <c r="A302" s="2678"/>
      <c r="B302" s="2684"/>
      <c r="C302" s="2688" t="s">
        <v>376</v>
      </c>
      <c r="D302" s="1021" t="s">
        <v>226</v>
      </c>
      <c r="E302" s="935">
        <v>2000</v>
      </c>
      <c r="F302" s="935">
        <v>2000</v>
      </c>
      <c r="G302" s="939">
        <v>0</v>
      </c>
      <c r="H302" s="940">
        <f t="shared" si="62"/>
        <v>0</v>
      </c>
      <c r="I302" s="939"/>
      <c r="J302" s="939">
        <f t="shared" si="58"/>
        <v>0</v>
      </c>
      <c r="K302" s="940">
        <f t="shared" si="59"/>
        <v>0</v>
      </c>
      <c r="L302" s="938"/>
    </row>
    <row r="303" spans="1:12" s="842" customFormat="1" ht="20.25" customHeight="1">
      <c r="A303" s="2678"/>
      <c r="B303" s="2684"/>
      <c r="C303" s="2689"/>
      <c r="D303" s="1021" t="s">
        <v>222</v>
      </c>
      <c r="E303" s="939">
        <v>4400</v>
      </c>
      <c r="F303" s="939">
        <v>4400</v>
      </c>
      <c r="G303" s="939">
        <v>6950</v>
      </c>
      <c r="H303" s="940">
        <f t="shared" si="62"/>
        <v>1.5795454545454546</v>
      </c>
      <c r="I303" s="939"/>
      <c r="J303" s="939">
        <f t="shared" si="58"/>
        <v>6950</v>
      </c>
      <c r="K303" s="940">
        <f t="shared" si="59"/>
        <v>1.5795454545454546</v>
      </c>
      <c r="L303" s="940"/>
    </row>
    <row r="304" spans="1:12" s="842" customFormat="1" ht="15.75" thickBot="1">
      <c r="A304" s="2678"/>
      <c r="B304" s="2660" t="s">
        <v>223</v>
      </c>
      <c r="C304" s="2660"/>
      <c r="D304" s="1219"/>
      <c r="E304" s="431">
        <v>0</v>
      </c>
      <c r="F304" s="431">
        <v>0</v>
      </c>
      <c r="G304" s="431">
        <v>0</v>
      </c>
      <c r="H304" s="432"/>
      <c r="I304" s="431"/>
      <c r="J304" s="431">
        <f t="shared" si="58"/>
        <v>0</v>
      </c>
      <c r="K304" s="432"/>
      <c r="L304" s="432"/>
    </row>
    <row r="305" spans="1:12" s="842" customFormat="1" ht="15.75" thickBot="1">
      <c r="A305" s="2678"/>
      <c r="B305" s="498">
        <v>80146</v>
      </c>
      <c r="C305" s="499" t="s">
        <v>379</v>
      </c>
      <c r="D305" s="500"/>
      <c r="E305" s="392">
        <f>SUM(E306,E315)</f>
        <v>124809</v>
      </c>
      <c r="F305" s="392">
        <f>SUM(F306,F315)</f>
        <v>537201</v>
      </c>
      <c r="G305" s="392">
        <f>SUM(G306,G315)</f>
        <v>0</v>
      </c>
      <c r="H305" s="393">
        <f t="shared" si="62"/>
        <v>0</v>
      </c>
      <c r="I305" s="392">
        <f>I306</f>
        <v>57960</v>
      </c>
      <c r="J305" s="392">
        <f t="shared" si="58"/>
        <v>57960</v>
      </c>
      <c r="K305" s="393">
        <f t="shared" si="59"/>
        <v>0.10789257652163715</v>
      </c>
      <c r="L305" s="393"/>
    </row>
    <row r="306" spans="1:12" s="842" customFormat="1">
      <c r="A306" s="2678"/>
      <c r="B306" s="2690" t="s">
        <v>219</v>
      </c>
      <c r="C306" s="2691"/>
      <c r="D306" s="1220"/>
      <c r="E306" s="401">
        <f>SUM(E307:E314)</f>
        <v>124809</v>
      </c>
      <c r="F306" s="401">
        <f>SUM(F307:F314)</f>
        <v>537201</v>
      </c>
      <c r="G306" s="401">
        <f>SUM(G307:G314)</f>
        <v>0</v>
      </c>
      <c r="H306" s="402">
        <f t="shared" si="62"/>
        <v>0</v>
      </c>
      <c r="I306" s="401">
        <f>I310+I311</f>
        <v>57960</v>
      </c>
      <c r="J306" s="401">
        <f t="shared" si="58"/>
        <v>57960</v>
      </c>
      <c r="K306" s="402">
        <f t="shared" si="59"/>
        <v>0.10789257652163715</v>
      </c>
      <c r="L306" s="402"/>
    </row>
    <row r="307" spans="1:12" s="842" customFormat="1" ht="51.75" hidden="1" customHeight="1">
      <c r="A307" s="2678"/>
      <c r="B307" s="2684"/>
      <c r="C307" s="501" t="s">
        <v>383</v>
      </c>
      <c r="D307" s="2674" t="s">
        <v>381</v>
      </c>
      <c r="E307" s="403">
        <v>111185</v>
      </c>
      <c r="F307" s="403">
        <v>133595</v>
      </c>
      <c r="G307" s="403">
        <v>0</v>
      </c>
      <c r="H307" s="938">
        <f t="shared" si="62"/>
        <v>0</v>
      </c>
      <c r="I307" s="403"/>
      <c r="J307" s="403">
        <f t="shared" si="58"/>
        <v>0</v>
      </c>
      <c r="K307" s="483">
        <f t="shared" si="59"/>
        <v>0</v>
      </c>
      <c r="L307" s="483"/>
    </row>
    <row r="308" spans="1:12" s="842" customFormat="1" ht="51.75" hidden="1" customHeight="1">
      <c r="A308" s="2678"/>
      <c r="B308" s="2684"/>
      <c r="C308" s="501" t="s">
        <v>382</v>
      </c>
      <c r="D308" s="2675"/>
      <c r="E308" s="403">
        <v>0</v>
      </c>
      <c r="F308" s="403">
        <v>51775</v>
      </c>
      <c r="G308" s="403">
        <v>0</v>
      </c>
      <c r="H308" s="938">
        <f t="shared" si="62"/>
        <v>0</v>
      </c>
      <c r="I308" s="403"/>
      <c r="J308" s="403">
        <f t="shared" si="58"/>
        <v>0</v>
      </c>
      <c r="K308" s="483">
        <f t="shared" si="59"/>
        <v>0</v>
      </c>
      <c r="L308" s="483"/>
    </row>
    <row r="309" spans="1:12" s="842" customFormat="1" ht="54.75" hidden="1" customHeight="1">
      <c r="A309" s="2678"/>
      <c r="B309" s="2684"/>
      <c r="C309" s="501" t="s">
        <v>380</v>
      </c>
      <c r="D309" s="2675"/>
      <c r="E309" s="403">
        <v>0</v>
      </c>
      <c r="F309" s="403">
        <v>50225</v>
      </c>
      <c r="G309" s="403">
        <v>0</v>
      </c>
      <c r="H309" s="938">
        <f t="shared" si="62"/>
        <v>0</v>
      </c>
      <c r="I309" s="403"/>
      <c r="J309" s="403">
        <f t="shared" si="58"/>
        <v>0</v>
      </c>
      <c r="K309" s="483">
        <f t="shared" si="59"/>
        <v>0</v>
      </c>
      <c r="L309" s="850"/>
    </row>
    <row r="310" spans="1:12" s="842" customFormat="1" ht="54.75" customHeight="1">
      <c r="A310" s="2678"/>
      <c r="B310" s="2684"/>
      <c r="C310" s="1194" t="s">
        <v>1012</v>
      </c>
      <c r="D310" s="2676"/>
      <c r="E310" s="403">
        <v>0</v>
      </c>
      <c r="F310" s="403">
        <v>230287</v>
      </c>
      <c r="G310" s="403">
        <v>0</v>
      </c>
      <c r="H310" s="938">
        <f t="shared" si="62"/>
        <v>0</v>
      </c>
      <c r="I310" s="403">
        <v>48849</v>
      </c>
      <c r="J310" s="403">
        <f t="shared" si="58"/>
        <v>48849</v>
      </c>
      <c r="K310" s="483">
        <f t="shared" si="59"/>
        <v>0.21212226482606486</v>
      </c>
      <c r="L310" s="850"/>
    </row>
    <row r="311" spans="1:12" s="842" customFormat="1" ht="54.75" customHeight="1">
      <c r="A311" s="2678"/>
      <c r="B311" s="2684"/>
      <c r="C311" s="1194" t="s">
        <v>1013</v>
      </c>
      <c r="D311" s="2674" t="s">
        <v>303</v>
      </c>
      <c r="E311" s="403">
        <v>0</v>
      </c>
      <c r="F311" s="403">
        <v>42953</v>
      </c>
      <c r="G311" s="403">
        <v>0</v>
      </c>
      <c r="H311" s="938">
        <f t="shared" si="62"/>
        <v>0</v>
      </c>
      <c r="I311" s="403">
        <v>9111</v>
      </c>
      <c r="J311" s="403">
        <f t="shared" si="58"/>
        <v>9111</v>
      </c>
      <c r="K311" s="483">
        <f t="shared" si="59"/>
        <v>0.2121155681791726</v>
      </c>
      <c r="L311" s="850"/>
    </row>
    <row r="312" spans="1:12" s="842" customFormat="1" ht="52.5" hidden="1" customHeight="1">
      <c r="A312" s="2678"/>
      <c r="B312" s="2684"/>
      <c r="C312" s="1183" t="s">
        <v>385</v>
      </c>
      <c r="D312" s="2676"/>
      <c r="E312" s="935">
        <v>13624</v>
      </c>
      <c r="F312" s="935">
        <v>16350</v>
      </c>
      <c r="G312" s="935">
        <v>0</v>
      </c>
      <c r="H312" s="938">
        <f t="shared" si="62"/>
        <v>0</v>
      </c>
      <c r="I312" s="935"/>
      <c r="J312" s="935">
        <f t="shared" si="58"/>
        <v>0</v>
      </c>
      <c r="K312" s="938">
        <f t="shared" si="59"/>
        <v>0</v>
      </c>
      <c r="L312" s="938"/>
    </row>
    <row r="313" spans="1:12" s="842" customFormat="1" ht="52.5" hidden="1" customHeight="1">
      <c r="A313" s="2678"/>
      <c r="B313" s="2684"/>
      <c r="C313" s="1221" t="s">
        <v>382</v>
      </c>
      <c r="D313" s="2675" t="s">
        <v>303</v>
      </c>
      <c r="E313" s="935">
        <v>0</v>
      </c>
      <c r="F313" s="935">
        <v>6089</v>
      </c>
      <c r="G313" s="935">
        <v>0</v>
      </c>
      <c r="H313" s="938">
        <f t="shared" si="62"/>
        <v>0</v>
      </c>
      <c r="I313" s="935"/>
      <c r="J313" s="935">
        <f t="shared" si="58"/>
        <v>0</v>
      </c>
      <c r="K313" s="938">
        <f t="shared" si="59"/>
        <v>0</v>
      </c>
      <c r="L313" s="938"/>
    </row>
    <row r="314" spans="1:12" s="842" customFormat="1" ht="50.25" hidden="1" customHeight="1">
      <c r="A314" s="2678"/>
      <c r="B314" s="2692"/>
      <c r="C314" s="1222" t="s">
        <v>384</v>
      </c>
      <c r="D314" s="2676"/>
      <c r="E314" s="935">
        <v>0</v>
      </c>
      <c r="F314" s="935">
        <v>5927</v>
      </c>
      <c r="G314" s="935">
        <v>0</v>
      </c>
      <c r="H314" s="938">
        <f t="shared" si="62"/>
        <v>0</v>
      </c>
      <c r="I314" s="935"/>
      <c r="J314" s="935">
        <f t="shared" si="58"/>
        <v>0</v>
      </c>
      <c r="K314" s="938">
        <f t="shared" si="59"/>
        <v>0</v>
      </c>
      <c r="L314" s="857"/>
    </row>
    <row r="315" spans="1:12" s="842" customFormat="1" ht="16.5" customHeight="1" thickBot="1">
      <c r="A315" s="2678"/>
      <c r="B315" s="2679" t="s">
        <v>223</v>
      </c>
      <c r="C315" s="2685"/>
      <c r="D315" s="1223"/>
      <c r="E315" s="397">
        <v>0</v>
      </c>
      <c r="F315" s="397">
        <v>0</v>
      </c>
      <c r="G315" s="397">
        <v>0</v>
      </c>
      <c r="H315" s="398"/>
      <c r="I315" s="397"/>
      <c r="J315" s="397">
        <f t="shared" si="58"/>
        <v>0</v>
      </c>
      <c r="K315" s="398"/>
      <c r="L315" s="398"/>
    </row>
    <row r="316" spans="1:12" s="1204" customFormat="1" ht="15.75" thickBot="1">
      <c r="A316" s="2678"/>
      <c r="B316" s="498">
        <v>80147</v>
      </c>
      <c r="C316" s="499" t="s">
        <v>386</v>
      </c>
      <c r="D316" s="500"/>
      <c r="E316" s="392">
        <f>SUM(E317,E321)</f>
        <v>30890</v>
      </c>
      <c r="F316" s="392">
        <f>SUM(F317,F321)</f>
        <v>30890</v>
      </c>
      <c r="G316" s="392">
        <f>SUM(G317,G321)</f>
        <v>30950</v>
      </c>
      <c r="H316" s="393">
        <f t="shared" si="62"/>
        <v>1.0019423761735189</v>
      </c>
      <c r="I316" s="392"/>
      <c r="J316" s="392">
        <f t="shared" si="58"/>
        <v>30950</v>
      </c>
      <c r="K316" s="393">
        <f t="shared" si="59"/>
        <v>1.0019423761735189</v>
      </c>
      <c r="L316" s="393"/>
    </row>
    <row r="317" spans="1:12" s="842" customFormat="1" ht="18" customHeight="1">
      <c r="A317" s="2678"/>
      <c r="B317" s="2671" t="s">
        <v>219</v>
      </c>
      <c r="C317" s="2661"/>
      <c r="D317" s="740"/>
      <c r="E317" s="394">
        <f>SUM(E318:E320)</f>
        <v>30890</v>
      </c>
      <c r="F317" s="394">
        <f>SUM(F318:F320)</f>
        <v>30890</v>
      </c>
      <c r="G317" s="394">
        <f>SUM(G318:G320)</f>
        <v>30950</v>
      </c>
      <c r="H317" s="395">
        <f t="shared" si="62"/>
        <v>1.0019423761735189</v>
      </c>
      <c r="I317" s="394"/>
      <c r="J317" s="394">
        <f t="shared" si="58"/>
        <v>30950</v>
      </c>
      <c r="K317" s="395">
        <f t="shared" si="59"/>
        <v>1.0019423761735189</v>
      </c>
      <c r="L317" s="395"/>
    </row>
    <row r="318" spans="1:12" s="842" customFormat="1" ht="16.5" customHeight="1">
      <c r="A318" s="2678"/>
      <c r="B318" s="2686"/>
      <c r="C318" s="2687" t="s">
        <v>387</v>
      </c>
      <c r="D318" s="1021" t="s">
        <v>221</v>
      </c>
      <c r="E318" s="962">
        <v>4000</v>
      </c>
      <c r="F318" s="962">
        <v>4000</v>
      </c>
      <c r="G318" s="962">
        <v>4000</v>
      </c>
      <c r="H318" s="1033">
        <f t="shared" si="62"/>
        <v>1</v>
      </c>
      <c r="I318" s="962"/>
      <c r="J318" s="962">
        <f t="shared" si="58"/>
        <v>4000</v>
      </c>
      <c r="K318" s="1033">
        <f t="shared" si="59"/>
        <v>1</v>
      </c>
      <c r="L318" s="1033"/>
    </row>
    <row r="319" spans="1:12" s="842" customFormat="1" ht="17.25" customHeight="1">
      <c r="A319" s="2678"/>
      <c r="B319" s="2684"/>
      <c r="C319" s="2628"/>
      <c r="D319" s="1021" t="s">
        <v>226</v>
      </c>
      <c r="E319" s="962">
        <v>500</v>
      </c>
      <c r="F319" s="962">
        <v>500</v>
      </c>
      <c r="G319" s="962">
        <v>500</v>
      </c>
      <c r="H319" s="1033">
        <f t="shared" si="62"/>
        <v>1</v>
      </c>
      <c r="I319" s="962"/>
      <c r="J319" s="962">
        <f t="shared" si="58"/>
        <v>500</v>
      </c>
      <c r="K319" s="1033">
        <f t="shared" si="59"/>
        <v>1</v>
      </c>
      <c r="L319" s="1033"/>
    </row>
    <row r="320" spans="1:12" s="842" customFormat="1" ht="15" customHeight="1">
      <c r="A320" s="2678"/>
      <c r="B320" s="2684"/>
      <c r="C320" s="2629"/>
      <c r="D320" s="1021" t="s">
        <v>222</v>
      </c>
      <c r="E320" s="939">
        <v>26390</v>
      </c>
      <c r="F320" s="939">
        <v>26390</v>
      </c>
      <c r="G320" s="939">
        <v>26450</v>
      </c>
      <c r="H320" s="940">
        <f t="shared" si="62"/>
        <v>1.002273588480485</v>
      </c>
      <c r="I320" s="939"/>
      <c r="J320" s="939">
        <f t="shared" si="58"/>
        <v>26450</v>
      </c>
      <c r="K320" s="940">
        <f t="shared" si="59"/>
        <v>1.002273588480485</v>
      </c>
      <c r="L320" s="940"/>
    </row>
    <row r="321" spans="1:12" s="842" customFormat="1" ht="15.75" thickBot="1">
      <c r="A321" s="2678"/>
      <c r="B321" s="2679" t="s">
        <v>223</v>
      </c>
      <c r="C321" s="2680"/>
      <c r="D321" s="1223"/>
      <c r="E321" s="397">
        <v>0</v>
      </c>
      <c r="F321" s="397">
        <v>0</v>
      </c>
      <c r="G321" s="397">
        <v>0</v>
      </c>
      <c r="H321" s="398"/>
      <c r="I321" s="397"/>
      <c r="J321" s="397">
        <f t="shared" si="58"/>
        <v>0</v>
      </c>
      <c r="K321" s="398"/>
      <c r="L321" s="398"/>
    </row>
    <row r="322" spans="1:12" s="842" customFormat="1" ht="15.75" hidden="1" thickBot="1">
      <c r="A322" s="1224"/>
      <c r="B322" s="498">
        <v>80195</v>
      </c>
      <c r="C322" s="499" t="s">
        <v>239</v>
      </c>
      <c r="D322" s="500"/>
      <c r="E322" s="392">
        <f>SUM(E323,E327)</f>
        <v>60401</v>
      </c>
      <c r="F322" s="392">
        <f>SUM(F323,F327)</f>
        <v>959983</v>
      </c>
      <c r="G322" s="392">
        <f>SUM(G323,G327)</f>
        <v>0</v>
      </c>
      <c r="H322" s="393">
        <f t="shared" si="62"/>
        <v>0</v>
      </c>
      <c r="I322" s="392"/>
      <c r="J322" s="392">
        <f t="shared" si="58"/>
        <v>0</v>
      </c>
      <c r="K322" s="393">
        <f t="shared" si="59"/>
        <v>0</v>
      </c>
      <c r="L322" s="393"/>
    </row>
    <row r="323" spans="1:12" s="842" customFormat="1" ht="15.75" hidden="1" thickBot="1">
      <c r="A323" s="1224"/>
      <c r="B323" s="2671" t="s">
        <v>219</v>
      </c>
      <c r="C323" s="2661"/>
      <c r="D323" s="740"/>
      <c r="E323" s="394">
        <f>SUM(E324:E326)</f>
        <v>60401</v>
      </c>
      <c r="F323" s="394">
        <f>SUM(F324:F326)</f>
        <v>910052</v>
      </c>
      <c r="G323" s="394">
        <f>SUM(G324:G326)</f>
        <v>0</v>
      </c>
      <c r="H323" s="395">
        <f t="shared" si="62"/>
        <v>0</v>
      </c>
      <c r="I323" s="394"/>
      <c r="J323" s="394">
        <f t="shared" si="58"/>
        <v>0</v>
      </c>
      <c r="K323" s="395">
        <f t="shared" si="59"/>
        <v>0</v>
      </c>
      <c r="L323" s="395"/>
    </row>
    <row r="324" spans="1:12" s="842" customFormat="1" ht="26.25" hidden="1" customHeight="1">
      <c r="A324" s="1224"/>
      <c r="B324" s="1225"/>
      <c r="C324" s="1226" t="s">
        <v>388</v>
      </c>
      <c r="D324" s="1021" t="s">
        <v>390</v>
      </c>
      <c r="E324" s="939">
        <v>60401</v>
      </c>
      <c r="F324" s="939">
        <v>21492</v>
      </c>
      <c r="G324" s="939">
        <v>0</v>
      </c>
      <c r="H324" s="940">
        <f t="shared" si="62"/>
        <v>0</v>
      </c>
      <c r="I324" s="939"/>
      <c r="J324" s="939">
        <f t="shared" si="58"/>
        <v>0</v>
      </c>
      <c r="K324" s="940">
        <f t="shared" si="59"/>
        <v>0</v>
      </c>
      <c r="L324" s="940"/>
    </row>
    <row r="325" spans="1:12" s="842" customFormat="1" ht="51.75" hidden="1" thickBot="1">
      <c r="A325" s="1224"/>
      <c r="B325" s="1225"/>
      <c r="C325" s="1227" t="s">
        <v>255</v>
      </c>
      <c r="D325" s="1228" t="s">
        <v>391</v>
      </c>
      <c r="E325" s="962">
        <v>0</v>
      </c>
      <c r="F325" s="962">
        <v>3284</v>
      </c>
      <c r="G325" s="962">
        <v>0</v>
      </c>
      <c r="H325" s="1033">
        <f t="shared" si="62"/>
        <v>0</v>
      </c>
      <c r="I325" s="962"/>
      <c r="J325" s="962">
        <f t="shared" si="58"/>
        <v>0</v>
      </c>
      <c r="K325" s="1033">
        <f t="shared" si="59"/>
        <v>0</v>
      </c>
      <c r="L325" s="1033"/>
    </row>
    <row r="326" spans="1:12" s="842" customFormat="1" ht="39" hidden="1" thickBot="1">
      <c r="A326" s="1224"/>
      <c r="B326" s="1225"/>
      <c r="C326" s="1227" t="s">
        <v>256</v>
      </c>
      <c r="D326" s="1021" t="s">
        <v>392</v>
      </c>
      <c r="E326" s="939">
        <v>0</v>
      </c>
      <c r="F326" s="939">
        <v>885276</v>
      </c>
      <c r="G326" s="939">
        <v>0</v>
      </c>
      <c r="H326" s="940">
        <f t="shared" si="62"/>
        <v>0</v>
      </c>
      <c r="I326" s="939"/>
      <c r="J326" s="939">
        <f t="shared" si="58"/>
        <v>0</v>
      </c>
      <c r="K326" s="940">
        <f t="shared" si="59"/>
        <v>0</v>
      </c>
      <c r="L326" s="940"/>
    </row>
    <row r="327" spans="1:12" s="842" customFormat="1" ht="15.75" hidden="1" thickBot="1">
      <c r="A327" s="1224"/>
      <c r="B327" s="2696" t="s">
        <v>229</v>
      </c>
      <c r="C327" s="2672"/>
      <c r="D327" s="1229"/>
      <c r="E327" s="1114">
        <f>E328</f>
        <v>0</v>
      </c>
      <c r="F327" s="1114">
        <f t="shared" ref="F327:G327" si="66">F328</f>
        <v>49931</v>
      </c>
      <c r="G327" s="1114">
        <f t="shared" si="66"/>
        <v>0</v>
      </c>
      <c r="H327" s="1115">
        <f t="shared" si="62"/>
        <v>0</v>
      </c>
      <c r="I327" s="1114"/>
      <c r="J327" s="1114">
        <f t="shared" si="58"/>
        <v>0</v>
      </c>
      <c r="K327" s="1115">
        <f t="shared" si="59"/>
        <v>0</v>
      </c>
      <c r="L327" s="1115"/>
    </row>
    <row r="328" spans="1:12" s="842" customFormat="1" ht="39" hidden="1" thickBot="1">
      <c r="A328" s="1224"/>
      <c r="B328" s="502"/>
      <c r="C328" s="1230" t="s">
        <v>256</v>
      </c>
      <c r="D328" s="1231" t="s">
        <v>393</v>
      </c>
      <c r="E328" s="433">
        <v>0</v>
      </c>
      <c r="F328" s="433">
        <v>49931</v>
      </c>
      <c r="G328" s="433">
        <v>0</v>
      </c>
      <c r="H328" s="1232">
        <f t="shared" si="62"/>
        <v>0</v>
      </c>
      <c r="I328" s="433"/>
      <c r="J328" s="433">
        <f t="shared" si="58"/>
        <v>0</v>
      </c>
      <c r="K328" s="480">
        <f t="shared" si="59"/>
        <v>0</v>
      </c>
      <c r="L328" s="1232"/>
    </row>
    <row r="329" spans="1:12" s="1203" customFormat="1" ht="16.5" hidden="1" customHeight="1" thickBot="1">
      <c r="A329" s="519">
        <v>803</v>
      </c>
      <c r="B329" s="496"/>
      <c r="C329" s="487" t="s">
        <v>394</v>
      </c>
      <c r="D329" s="497"/>
      <c r="E329" s="387">
        <f>E330</f>
        <v>0</v>
      </c>
      <c r="F329" s="387">
        <f t="shared" ref="F329:G329" si="67">F330</f>
        <v>0</v>
      </c>
      <c r="G329" s="387">
        <f t="shared" si="67"/>
        <v>0</v>
      </c>
      <c r="H329" s="388" t="e">
        <f t="shared" si="62"/>
        <v>#DIV/0!</v>
      </c>
      <c r="I329" s="387"/>
      <c r="J329" s="387">
        <f t="shared" si="58"/>
        <v>0</v>
      </c>
      <c r="K329" s="388" t="e">
        <f t="shared" si="59"/>
        <v>#DIV/0!</v>
      </c>
      <c r="L329" s="388"/>
    </row>
    <row r="330" spans="1:12" s="1204" customFormat="1" ht="15.75" hidden="1" customHeight="1" thickBot="1">
      <c r="A330" s="1233"/>
      <c r="B330" s="1208">
        <v>80309</v>
      </c>
      <c r="C330" s="1209" t="s">
        <v>395</v>
      </c>
      <c r="D330" s="1210"/>
      <c r="E330" s="840">
        <f>SUM(E331,E333)</f>
        <v>0</v>
      </c>
      <c r="F330" s="840">
        <f>SUM(F331,F333)</f>
        <v>0</v>
      </c>
      <c r="G330" s="840">
        <f>SUM(G331,G333)</f>
        <v>0</v>
      </c>
      <c r="H330" s="841"/>
      <c r="I330" s="840"/>
      <c r="J330" s="840">
        <f t="shared" si="58"/>
        <v>0</v>
      </c>
      <c r="K330" s="841" t="e">
        <f t="shared" si="59"/>
        <v>#DIV/0!</v>
      </c>
      <c r="L330" s="841"/>
    </row>
    <row r="331" spans="1:12" s="842" customFormat="1" ht="15.75" hidden="1" customHeight="1" thickBot="1">
      <c r="A331" s="1233"/>
      <c r="B331" s="2681" t="s">
        <v>219</v>
      </c>
      <c r="C331" s="2681"/>
      <c r="D331" s="1211"/>
      <c r="E331" s="890">
        <f>SUM(E332:E332)</f>
        <v>0</v>
      </c>
      <c r="F331" s="890">
        <f>SUM(F332:F332)</f>
        <v>0</v>
      </c>
      <c r="G331" s="890">
        <f>SUM(G332:G332)</f>
        <v>0</v>
      </c>
      <c r="H331" s="891"/>
      <c r="I331" s="890"/>
      <c r="J331" s="890">
        <f t="shared" si="58"/>
        <v>0</v>
      </c>
      <c r="K331" s="891" t="e">
        <f t="shared" si="59"/>
        <v>#DIV/0!</v>
      </c>
      <c r="L331" s="891"/>
    </row>
    <row r="332" spans="1:12" s="842" customFormat="1" ht="42.75" hidden="1" customHeight="1">
      <c r="A332" s="1233"/>
      <c r="B332" s="1234"/>
      <c r="C332" s="1190" t="s">
        <v>396</v>
      </c>
      <c r="D332" s="1235" t="s">
        <v>397</v>
      </c>
      <c r="E332" s="855">
        <v>0</v>
      </c>
      <c r="F332" s="855">
        <v>0</v>
      </c>
      <c r="G332" s="855">
        <v>0</v>
      </c>
      <c r="H332" s="856"/>
      <c r="I332" s="855"/>
      <c r="J332" s="855">
        <f t="shared" si="58"/>
        <v>0</v>
      </c>
      <c r="K332" s="856" t="e">
        <f t="shared" si="59"/>
        <v>#DIV/0!</v>
      </c>
      <c r="L332" s="856"/>
    </row>
    <row r="333" spans="1:12" s="842" customFormat="1" ht="15.75" hidden="1" customHeight="1" thickBot="1">
      <c r="A333" s="1233"/>
      <c r="B333" s="2697" t="s">
        <v>223</v>
      </c>
      <c r="C333" s="2697"/>
      <c r="D333" s="1236"/>
      <c r="E333" s="1237">
        <v>0</v>
      </c>
      <c r="F333" s="1237">
        <v>0</v>
      </c>
      <c r="G333" s="1237">
        <v>0</v>
      </c>
      <c r="H333" s="1178"/>
      <c r="I333" s="1237"/>
      <c r="J333" s="1237">
        <f t="shared" ref="J333:J396" si="68">G333+I333</f>
        <v>0</v>
      </c>
      <c r="K333" s="1178" t="e">
        <f t="shared" ref="K333:K396" si="69">J333/F333</f>
        <v>#DIV/0!</v>
      </c>
      <c r="L333" s="1178"/>
    </row>
    <row r="334" spans="1:12" s="1203" customFormat="1" ht="14.25" customHeight="1" thickBot="1">
      <c r="A334" s="519">
        <v>851</v>
      </c>
      <c r="B334" s="496"/>
      <c r="C334" s="487" t="s">
        <v>398</v>
      </c>
      <c r="D334" s="497"/>
      <c r="E334" s="426">
        <f>E335+E340+E345+E349</f>
        <v>105000</v>
      </c>
      <c r="F334" s="426">
        <f>F335+F340+F345+F349</f>
        <v>194403</v>
      </c>
      <c r="G334" s="426">
        <f>G335+G340+G345+G349</f>
        <v>30000</v>
      </c>
      <c r="H334" s="427">
        <f t="shared" si="62"/>
        <v>0.15431860619434884</v>
      </c>
      <c r="I334" s="426">
        <f>I345</f>
        <v>25000</v>
      </c>
      <c r="J334" s="426">
        <f t="shared" si="68"/>
        <v>55000</v>
      </c>
      <c r="K334" s="427">
        <f t="shared" si="69"/>
        <v>0.28291744468963959</v>
      </c>
      <c r="L334" s="1238"/>
    </row>
    <row r="335" spans="1:12" s="1203" customFormat="1" ht="14.25" hidden="1" customHeight="1" thickBot="1">
      <c r="A335" s="1239"/>
      <c r="B335" s="503">
        <v>85111</v>
      </c>
      <c r="C335" s="489" t="s">
        <v>399</v>
      </c>
      <c r="D335" s="495"/>
      <c r="E335" s="392">
        <f>E336+E337</f>
        <v>0</v>
      </c>
      <c r="F335" s="392">
        <f>SUM(F336,F337)</f>
        <v>54491</v>
      </c>
      <c r="G335" s="392">
        <f>SUM(G336,G337)</f>
        <v>0</v>
      </c>
      <c r="H335" s="393"/>
      <c r="I335" s="392"/>
      <c r="J335" s="392">
        <f t="shared" si="68"/>
        <v>0</v>
      </c>
      <c r="K335" s="393">
        <f t="shared" si="69"/>
        <v>0</v>
      </c>
      <c r="L335" s="393"/>
    </row>
    <row r="336" spans="1:12" s="1203" customFormat="1" ht="13.5" hidden="1" customHeight="1">
      <c r="A336" s="1239"/>
      <c r="B336" s="2690" t="s">
        <v>400</v>
      </c>
      <c r="C336" s="2691"/>
      <c r="D336" s="1240"/>
      <c r="E336" s="394">
        <v>0</v>
      </c>
      <c r="F336" s="394">
        <v>0</v>
      </c>
      <c r="G336" s="394">
        <v>0</v>
      </c>
      <c r="H336" s="395"/>
      <c r="I336" s="394"/>
      <c r="J336" s="394">
        <f t="shared" si="68"/>
        <v>0</v>
      </c>
      <c r="K336" s="395"/>
      <c r="L336" s="395"/>
    </row>
    <row r="337" spans="1:12" s="1203" customFormat="1" ht="14.25" hidden="1" customHeight="1">
      <c r="A337" s="1239"/>
      <c r="B337" s="2696" t="s">
        <v>229</v>
      </c>
      <c r="C337" s="2698"/>
      <c r="D337" s="1161"/>
      <c r="E337" s="1114">
        <f>E338+E339</f>
        <v>0</v>
      </c>
      <c r="F337" s="1114">
        <f t="shared" ref="F337:G337" si="70">F338+F339</f>
        <v>54491</v>
      </c>
      <c r="G337" s="1114">
        <f t="shared" si="70"/>
        <v>0</v>
      </c>
      <c r="H337" s="1170">
        <f t="shared" ref="H337:H338" si="71">G337/F337</f>
        <v>0</v>
      </c>
      <c r="I337" s="1114"/>
      <c r="J337" s="1114">
        <f t="shared" si="68"/>
        <v>0</v>
      </c>
      <c r="K337" s="1115">
        <f t="shared" si="69"/>
        <v>0</v>
      </c>
      <c r="L337" s="1115"/>
    </row>
    <row r="338" spans="1:12" s="1203" customFormat="1" ht="30" hidden="1" customHeight="1">
      <c r="A338" s="1239"/>
      <c r="B338" s="1205"/>
      <c r="C338" s="1241" t="s">
        <v>401</v>
      </c>
      <c r="D338" s="1242">
        <v>6530</v>
      </c>
      <c r="E338" s="1243"/>
      <c r="F338" s="854"/>
      <c r="G338" s="854"/>
      <c r="H338" s="1244" t="e">
        <f t="shared" si="71"/>
        <v>#DIV/0!</v>
      </c>
      <c r="I338" s="854"/>
      <c r="J338" s="854">
        <f t="shared" si="68"/>
        <v>0</v>
      </c>
      <c r="K338" s="857" t="e">
        <f t="shared" si="69"/>
        <v>#DIV/0!</v>
      </c>
      <c r="L338" s="1245" t="s">
        <v>1014</v>
      </c>
    </row>
    <row r="339" spans="1:12" s="1203" customFormat="1" ht="45.75" hidden="1" customHeight="1" thickBot="1">
      <c r="A339" s="1239"/>
      <c r="B339" s="528"/>
      <c r="C339" s="1246" t="s">
        <v>414</v>
      </c>
      <c r="D339" s="1247">
        <v>6699</v>
      </c>
      <c r="E339" s="1248">
        <v>0</v>
      </c>
      <c r="F339" s="433">
        <v>54491</v>
      </c>
      <c r="G339" s="433">
        <v>0</v>
      </c>
      <c r="H339" s="480">
        <f>G339/F339</f>
        <v>0</v>
      </c>
      <c r="I339" s="433"/>
      <c r="J339" s="433">
        <f t="shared" si="68"/>
        <v>0</v>
      </c>
      <c r="K339" s="480">
        <f t="shared" si="69"/>
        <v>0</v>
      </c>
      <c r="L339" s="1232"/>
    </row>
    <row r="340" spans="1:12" s="1203" customFormat="1" ht="15.75" hidden="1" customHeight="1" thickBot="1">
      <c r="A340" s="2693"/>
      <c r="B340" s="494">
        <v>85141</v>
      </c>
      <c r="C340" s="489" t="s">
        <v>402</v>
      </c>
      <c r="D340" s="495"/>
      <c r="E340" s="392">
        <f>SUM(E341,E342)</f>
        <v>50000</v>
      </c>
      <c r="F340" s="392">
        <f t="shared" ref="F340:G340" si="72">SUM(F341,F342)</f>
        <v>50000</v>
      </c>
      <c r="G340" s="392">
        <f t="shared" si="72"/>
        <v>0</v>
      </c>
      <c r="H340" s="393">
        <f t="shared" si="62"/>
        <v>0</v>
      </c>
      <c r="I340" s="392"/>
      <c r="J340" s="392">
        <f t="shared" si="68"/>
        <v>0</v>
      </c>
      <c r="K340" s="393">
        <f t="shared" si="69"/>
        <v>0</v>
      </c>
      <c r="L340" s="393"/>
    </row>
    <row r="341" spans="1:12" s="1203" customFormat="1" ht="15.75" hidden="1" thickBot="1">
      <c r="A341" s="2693"/>
      <c r="B341" s="2699" t="s">
        <v>400</v>
      </c>
      <c r="C341" s="2700"/>
      <c r="D341" s="740"/>
      <c r="E341" s="394">
        <v>0</v>
      </c>
      <c r="F341" s="394">
        <v>0</v>
      </c>
      <c r="G341" s="394">
        <v>0</v>
      </c>
      <c r="H341" s="395"/>
      <c r="I341" s="394"/>
      <c r="J341" s="394">
        <f t="shared" si="68"/>
        <v>0</v>
      </c>
      <c r="K341" s="395"/>
      <c r="L341" s="395"/>
    </row>
    <row r="342" spans="1:12" s="1203" customFormat="1" ht="15.75" hidden="1" thickBot="1">
      <c r="A342" s="2693"/>
      <c r="B342" s="2696" t="s">
        <v>229</v>
      </c>
      <c r="C342" s="2698"/>
      <c r="D342" s="1175"/>
      <c r="E342" s="966">
        <f>E343</f>
        <v>50000</v>
      </c>
      <c r="F342" s="966">
        <f t="shared" ref="F342:G342" si="73">F343</f>
        <v>50000</v>
      </c>
      <c r="G342" s="966">
        <f t="shared" si="73"/>
        <v>0</v>
      </c>
      <c r="H342" s="968">
        <f t="shared" si="62"/>
        <v>0</v>
      </c>
      <c r="I342" s="966"/>
      <c r="J342" s="966">
        <f t="shared" si="68"/>
        <v>0</v>
      </c>
      <c r="K342" s="968">
        <f t="shared" si="69"/>
        <v>0</v>
      </c>
      <c r="L342" s="968"/>
    </row>
    <row r="343" spans="1:12" s="984" customFormat="1" ht="39.75" hidden="1" customHeight="1" thickBot="1">
      <c r="A343" s="1249"/>
      <c r="B343" s="1250"/>
      <c r="C343" s="960" t="s">
        <v>403</v>
      </c>
      <c r="D343" s="1251">
        <v>6510</v>
      </c>
      <c r="E343" s="406">
        <v>50000</v>
      </c>
      <c r="F343" s="406">
        <v>50000</v>
      </c>
      <c r="G343" s="406">
        <v>0</v>
      </c>
      <c r="H343" s="407">
        <f t="shared" si="62"/>
        <v>0</v>
      </c>
      <c r="I343" s="406"/>
      <c r="J343" s="406">
        <f t="shared" si="68"/>
        <v>0</v>
      </c>
      <c r="K343" s="407">
        <f t="shared" si="69"/>
        <v>0</v>
      </c>
      <c r="L343" s="407"/>
    </row>
    <row r="344" spans="1:12" s="984" customFormat="1" ht="0.75" customHeight="1" thickBot="1">
      <c r="A344" s="1249"/>
      <c r="B344" s="1252">
        <v>85120</v>
      </c>
      <c r="C344" s="1253" t="s">
        <v>404</v>
      </c>
      <c r="D344" s="1180"/>
      <c r="E344" s="1254"/>
      <c r="F344" s="1254"/>
      <c r="G344" s="1254"/>
      <c r="H344" s="1255" t="e">
        <f t="shared" ref="H344:H347" si="74">G344/F344</f>
        <v>#DIV/0!</v>
      </c>
      <c r="I344" s="1254"/>
      <c r="J344" s="1254">
        <f t="shared" si="68"/>
        <v>0</v>
      </c>
      <c r="K344" s="1255" t="e">
        <f t="shared" si="69"/>
        <v>#DIV/0!</v>
      </c>
      <c r="L344" s="1255"/>
    </row>
    <row r="345" spans="1:12" s="1204" customFormat="1" ht="26.25" thickBot="1">
      <c r="A345" s="2693"/>
      <c r="B345" s="504">
        <v>85156</v>
      </c>
      <c r="C345" s="492" t="s">
        <v>405</v>
      </c>
      <c r="D345" s="495"/>
      <c r="E345" s="392">
        <f t="shared" ref="E345" si="75">SUM(E346,E348)</f>
        <v>25000</v>
      </c>
      <c r="F345" s="392">
        <f>SUM(F346,F348)</f>
        <v>25000</v>
      </c>
      <c r="G345" s="392">
        <f>SUM(G346,G348)</f>
        <v>0</v>
      </c>
      <c r="H345" s="393">
        <f t="shared" si="74"/>
        <v>0</v>
      </c>
      <c r="I345" s="392">
        <f>I346</f>
        <v>25000</v>
      </c>
      <c r="J345" s="392">
        <f t="shared" si="68"/>
        <v>25000</v>
      </c>
      <c r="K345" s="393">
        <f t="shared" si="69"/>
        <v>1</v>
      </c>
      <c r="L345" s="393"/>
    </row>
    <row r="346" spans="1:12" s="842" customFormat="1" ht="12.75" customHeight="1">
      <c r="A346" s="2693"/>
      <c r="B346" s="2690" t="s">
        <v>219</v>
      </c>
      <c r="C346" s="2691"/>
      <c r="D346" s="1240"/>
      <c r="E346" s="394">
        <f t="shared" ref="E346:G346" si="76">SUM(E347)</f>
        <v>25000</v>
      </c>
      <c r="F346" s="394">
        <f t="shared" si="76"/>
        <v>25000</v>
      </c>
      <c r="G346" s="394">
        <f t="shared" si="76"/>
        <v>0</v>
      </c>
      <c r="H346" s="395">
        <f t="shared" si="74"/>
        <v>0</v>
      </c>
      <c r="I346" s="394">
        <f>I347</f>
        <v>25000</v>
      </c>
      <c r="J346" s="394">
        <f t="shared" si="68"/>
        <v>25000</v>
      </c>
      <c r="K346" s="395">
        <f t="shared" si="69"/>
        <v>1</v>
      </c>
      <c r="L346" s="395"/>
    </row>
    <row r="347" spans="1:12" s="842" customFormat="1" ht="39.75" customHeight="1">
      <c r="A347" s="2693"/>
      <c r="B347" s="1256"/>
      <c r="C347" s="1257" t="s">
        <v>227</v>
      </c>
      <c r="D347" s="1160">
        <v>2210</v>
      </c>
      <c r="E347" s="939">
        <v>25000</v>
      </c>
      <c r="F347" s="939">
        <v>25000</v>
      </c>
      <c r="G347" s="939">
        <v>0</v>
      </c>
      <c r="H347" s="940">
        <f t="shared" si="74"/>
        <v>0</v>
      </c>
      <c r="I347" s="939">
        <v>25000</v>
      </c>
      <c r="J347" s="939">
        <f t="shared" si="68"/>
        <v>25000</v>
      </c>
      <c r="K347" s="940">
        <f t="shared" si="69"/>
        <v>1</v>
      </c>
      <c r="L347" s="940"/>
    </row>
    <row r="348" spans="1:12" s="842" customFormat="1" ht="15.75" thickBot="1">
      <c r="A348" s="2693"/>
      <c r="B348" s="2679" t="s">
        <v>223</v>
      </c>
      <c r="C348" s="2685"/>
      <c r="D348" s="1207"/>
      <c r="E348" s="397">
        <v>0</v>
      </c>
      <c r="F348" s="397">
        <v>0</v>
      </c>
      <c r="G348" s="397">
        <v>0</v>
      </c>
      <c r="H348" s="398"/>
      <c r="I348" s="397"/>
      <c r="J348" s="397">
        <f t="shared" si="68"/>
        <v>0</v>
      </c>
      <c r="K348" s="398"/>
      <c r="L348" s="398"/>
    </row>
    <row r="349" spans="1:12" s="1204" customFormat="1" ht="15.75" thickBot="1">
      <c r="A349" s="1239"/>
      <c r="B349" s="494">
        <v>85195</v>
      </c>
      <c r="C349" s="489" t="s">
        <v>239</v>
      </c>
      <c r="D349" s="495"/>
      <c r="E349" s="392">
        <f>SUM(E350,E352)</f>
        <v>30000</v>
      </c>
      <c r="F349" s="392">
        <f>SUM(F350,F352)</f>
        <v>64912</v>
      </c>
      <c r="G349" s="392">
        <f>SUM(G350,G352)</f>
        <v>30000</v>
      </c>
      <c r="H349" s="393">
        <f t="shared" ref="H349:H412" si="77">G349/F349</f>
        <v>0.46216416070988414</v>
      </c>
      <c r="I349" s="392"/>
      <c r="J349" s="392">
        <f t="shared" si="68"/>
        <v>30000</v>
      </c>
      <c r="K349" s="393">
        <f t="shared" si="69"/>
        <v>0.46216416070988414</v>
      </c>
      <c r="L349" s="393"/>
    </row>
    <row r="350" spans="1:12" s="842" customFormat="1" ht="12.75" customHeight="1">
      <c r="A350" s="1239"/>
      <c r="B350" s="2671" t="s">
        <v>219</v>
      </c>
      <c r="C350" s="2694"/>
      <c r="D350" s="1157"/>
      <c r="E350" s="394">
        <f t="shared" ref="E350:G350" si="78">SUM(E351)</f>
        <v>30000</v>
      </c>
      <c r="F350" s="394">
        <f t="shared" si="78"/>
        <v>64912</v>
      </c>
      <c r="G350" s="394">
        <f t="shared" si="78"/>
        <v>30000</v>
      </c>
      <c r="H350" s="395">
        <f t="shared" si="77"/>
        <v>0.46216416070988414</v>
      </c>
      <c r="I350" s="394"/>
      <c r="J350" s="394">
        <f t="shared" si="68"/>
        <v>30000</v>
      </c>
      <c r="K350" s="395">
        <f t="shared" si="69"/>
        <v>0.46216416070988414</v>
      </c>
      <c r="L350" s="395"/>
    </row>
    <row r="351" spans="1:12" s="842" customFormat="1" ht="41.25" customHeight="1">
      <c r="A351" s="1239"/>
      <c r="B351" s="1158"/>
      <c r="C351" s="1258" t="s">
        <v>227</v>
      </c>
      <c r="D351" s="1160">
        <v>2210</v>
      </c>
      <c r="E351" s="939">
        <v>30000</v>
      </c>
      <c r="F351" s="939">
        <v>64912</v>
      </c>
      <c r="G351" s="939">
        <v>30000</v>
      </c>
      <c r="H351" s="940">
        <f t="shared" si="77"/>
        <v>0.46216416070988414</v>
      </c>
      <c r="I351" s="939"/>
      <c r="J351" s="939">
        <f t="shared" si="68"/>
        <v>30000</v>
      </c>
      <c r="K351" s="940">
        <f t="shared" si="69"/>
        <v>0.46216416070988414</v>
      </c>
      <c r="L351" s="1019"/>
    </row>
    <row r="352" spans="1:12" s="842" customFormat="1" ht="15.75" thickBot="1">
      <c r="A352" s="1259"/>
      <c r="B352" s="2679" t="s">
        <v>223</v>
      </c>
      <c r="C352" s="2685"/>
      <c r="D352" s="1207"/>
      <c r="E352" s="397">
        <v>0</v>
      </c>
      <c r="F352" s="397">
        <v>0</v>
      </c>
      <c r="G352" s="397">
        <v>0</v>
      </c>
      <c r="H352" s="398"/>
      <c r="I352" s="397"/>
      <c r="J352" s="397">
        <f t="shared" si="68"/>
        <v>0</v>
      </c>
      <c r="K352" s="398"/>
      <c r="L352" s="398"/>
    </row>
    <row r="353" spans="1:12" s="1203" customFormat="1" ht="15.75" thickBot="1">
      <c r="A353" s="519">
        <v>852</v>
      </c>
      <c r="B353" s="496"/>
      <c r="C353" s="487" t="s">
        <v>406</v>
      </c>
      <c r="D353" s="497"/>
      <c r="E353" s="387">
        <f>SUM(E354,E358,E364)</f>
        <v>4954788</v>
      </c>
      <c r="F353" s="387">
        <f>SUM(F354,F358,F364)</f>
        <v>5776290</v>
      </c>
      <c r="G353" s="387">
        <f>SUM(G354,G358,G364)</f>
        <v>5531192</v>
      </c>
      <c r="H353" s="388">
        <f t="shared" si="77"/>
        <v>0.95756826613622237</v>
      </c>
      <c r="I353" s="387"/>
      <c r="J353" s="387">
        <f t="shared" si="68"/>
        <v>5531192</v>
      </c>
      <c r="K353" s="388">
        <f t="shared" si="69"/>
        <v>0.95756826613622237</v>
      </c>
      <c r="L353" s="388"/>
    </row>
    <row r="354" spans="1:12" s="1203" customFormat="1" ht="15.75" thickBot="1">
      <c r="A354" s="1260"/>
      <c r="B354" s="494">
        <v>85205</v>
      </c>
      <c r="C354" s="489" t="s">
        <v>407</v>
      </c>
      <c r="D354" s="1261"/>
      <c r="E354" s="392">
        <f>SUM(E357,E355)</f>
        <v>100000</v>
      </c>
      <c r="F354" s="392">
        <f>SUM(F357,F355)</f>
        <v>100000</v>
      </c>
      <c r="G354" s="392">
        <f>SUM(G357,G355)</f>
        <v>100000</v>
      </c>
      <c r="H354" s="393">
        <f t="shared" si="77"/>
        <v>1</v>
      </c>
      <c r="I354" s="392"/>
      <c r="J354" s="392">
        <f t="shared" si="68"/>
        <v>100000</v>
      </c>
      <c r="K354" s="393">
        <f t="shared" si="69"/>
        <v>1</v>
      </c>
      <c r="L354" s="841"/>
    </row>
    <row r="355" spans="1:12" s="1203" customFormat="1">
      <c r="A355" s="1239"/>
      <c r="B355" s="2661" t="s">
        <v>219</v>
      </c>
      <c r="C355" s="2695"/>
      <c r="D355" s="1182"/>
      <c r="E355" s="394">
        <f>SUM(E356:E356)</f>
        <v>100000</v>
      </c>
      <c r="F355" s="394">
        <f>SUM(F356:F356)</f>
        <v>100000</v>
      </c>
      <c r="G355" s="394">
        <f>SUM(G356:G356)</f>
        <v>100000</v>
      </c>
      <c r="H355" s="395">
        <f t="shared" si="77"/>
        <v>1</v>
      </c>
      <c r="I355" s="394"/>
      <c r="J355" s="394">
        <f t="shared" si="68"/>
        <v>100000</v>
      </c>
      <c r="K355" s="395">
        <f t="shared" si="69"/>
        <v>1</v>
      </c>
      <c r="L355" s="891"/>
    </row>
    <row r="356" spans="1:12" s="1203" customFormat="1" ht="25.5">
      <c r="A356" s="1239"/>
      <c r="B356" s="1262"/>
      <c r="C356" s="1263" t="s">
        <v>408</v>
      </c>
      <c r="D356" s="1173">
        <v>2230</v>
      </c>
      <c r="E356" s="939">
        <v>100000</v>
      </c>
      <c r="F356" s="939">
        <v>100000</v>
      </c>
      <c r="G356" s="939">
        <v>100000</v>
      </c>
      <c r="H356" s="940">
        <f t="shared" si="77"/>
        <v>1</v>
      </c>
      <c r="I356" s="939"/>
      <c r="J356" s="939">
        <f t="shared" si="68"/>
        <v>100000</v>
      </c>
      <c r="K356" s="940">
        <f t="shared" si="69"/>
        <v>1</v>
      </c>
      <c r="L356" s="1045"/>
    </row>
    <row r="357" spans="1:12" s="1203" customFormat="1" ht="15" customHeight="1" thickBot="1">
      <c r="A357" s="1239"/>
      <c r="B357" s="2696" t="s">
        <v>223</v>
      </c>
      <c r="C357" s="2698"/>
      <c r="D357" s="1236"/>
      <c r="E357" s="1114">
        <v>0</v>
      </c>
      <c r="F357" s="1114">
        <v>0</v>
      </c>
      <c r="G357" s="1114">
        <v>0</v>
      </c>
      <c r="H357" s="1115"/>
      <c r="I357" s="1114"/>
      <c r="J357" s="1114">
        <f t="shared" si="68"/>
        <v>0</v>
      </c>
      <c r="K357" s="1115"/>
      <c r="L357" s="897"/>
    </row>
    <row r="358" spans="1:12" s="1204" customFormat="1" ht="19.5" customHeight="1" thickBot="1">
      <c r="A358" s="1260"/>
      <c r="B358" s="503">
        <v>85217</v>
      </c>
      <c r="C358" s="489" t="s">
        <v>409</v>
      </c>
      <c r="D358" s="495"/>
      <c r="E358" s="416">
        <f>SUM(E359,E363)</f>
        <v>324643</v>
      </c>
      <c r="F358" s="416">
        <f>SUM(F359,F363)</f>
        <v>328465</v>
      </c>
      <c r="G358" s="416">
        <f>SUM(G359,G363)</f>
        <v>281210</v>
      </c>
      <c r="H358" s="417">
        <f t="shared" si="77"/>
        <v>0.85613383465513826</v>
      </c>
      <c r="I358" s="416"/>
      <c r="J358" s="416">
        <f t="shared" si="68"/>
        <v>281210</v>
      </c>
      <c r="K358" s="417">
        <f t="shared" si="69"/>
        <v>0.85613383465513826</v>
      </c>
      <c r="L358" s="1058"/>
    </row>
    <row r="359" spans="1:12" s="842" customFormat="1" ht="16.5" customHeight="1">
      <c r="A359" s="1260"/>
      <c r="B359" s="2702" t="s">
        <v>219</v>
      </c>
      <c r="C359" s="2661"/>
      <c r="D359" s="740"/>
      <c r="E359" s="394">
        <f>SUM(E360:E362)</f>
        <v>324643</v>
      </c>
      <c r="F359" s="394">
        <f>SUM(F360:F362)</f>
        <v>328465</v>
      </c>
      <c r="G359" s="394">
        <f>SUM(G360:G362)</f>
        <v>281210</v>
      </c>
      <c r="H359" s="395">
        <f t="shared" si="77"/>
        <v>0.85613383465513826</v>
      </c>
      <c r="I359" s="394"/>
      <c r="J359" s="394">
        <f t="shared" si="68"/>
        <v>281210</v>
      </c>
      <c r="K359" s="395">
        <f t="shared" si="69"/>
        <v>0.85613383465513826</v>
      </c>
      <c r="L359" s="891"/>
    </row>
    <row r="360" spans="1:12" s="842" customFormat="1" ht="16.5" customHeight="1">
      <c r="A360" s="1260"/>
      <c r="B360" s="2686"/>
      <c r="C360" s="2688" t="s">
        <v>410</v>
      </c>
      <c r="D360" s="1264" t="s">
        <v>259</v>
      </c>
      <c r="E360" s="935">
        <v>320095</v>
      </c>
      <c r="F360" s="935">
        <v>320095</v>
      </c>
      <c r="G360" s="939">
        <v>278670</v>
      </c>
      <c r="H360" s="938">
        <f>G360/F360</f>
        <v>0.87058529499054971</v>
      </c>
      <c r="I360" s="939"/>
      <c r="J360" s="939">
        <f t="shared" si="68"/>
        <v>278670</v>
      </c>
      <c r="K360" s="940">
        <f t="shared" si="69"/>
        <v>0.87058529499054971</v>
      </c>
      <c r="L360" s="973"/>
    </row>
    <row r="361" spans="1:12" s="842" customFormat="1" ht="16.5" customHeight="1">
      <c r="A361" s="1260"/>
      <c r="B361" s="2684"/>
      <c r="C361" s="2703"/>
      <c r="D361" s="1264" t="s">
        <v>221</v>
      </c>
      <c r="E361" s="935">
        <v>3780</v>
      </c>
      <c r="F361" s="935">
        <v>3780</v>
      </c>
      <c r="G361" s="939">
        <v>1240</v>
      </c>
      <c r="H361" s="938">
        <f t="shared" si="77"/>
        <v>0.32804232804232802</v>
      </c>
      <c r="I361" s="939"/>
      <c r="J361" s="939">
        <f t="shared" si="68"/>
        <v>1240</v>
      </c>
      <c r="K361" s="940">
        <f t="shared" si="69"/>
        <v>0.32804232804232802</v>
      </c>
      <c r="L361" s="973"/>
    </row>
    <row r="362" spans="1:12" s="842" customFormat="1" ht="15.75" customHeight="1">
      <c r="A362" s="1260"/>
      <c r="B362" s="2684"/>
      <c r="C362" s="2703"/>
      <c r="D362" s="1264" t="s">
        <v>222</v>
      </c>
      <c r="E362" s="935">
        <v>768</v>
      </c>
      <c r="F362" s="935">
        <v>4590</v>
      </c>
      <c r="G362" s="939">
        <v>1300</v>
      </c>
      <c r="H362" s="938">
        <f t="shared" si="77"/>
        <v>0.28322440087145967</v>
      </c>
      <c r="I362" s="939"/>
      <c r="J362" s="939">
        <f t="shared" si="68"/>
        <v>1300</v>
      </c>
      <c r="K362" s="940">
        <f t="shared" si="69"/>
        <v>0.28322440087145967</v>
      </c>
      <c r="L362" s="973"/>
    </row>
    <row r="363" spans="1:12" s="842" customFormat="1" ht="14.25" customHeight="1" thickBot="1">
      <c r="A363" s="1260"/>
      <c r="B363" s="2659" t="s">
        <v>223</v>
      </c>
      <c r="C363" s="2673"/>
      <c r="D363" s="1175"/>
      <c r="E363" s="461">
        <v>0</v>
      </c>
      <c r="F363" s="461">
        <v>0</v>
      </c>
      <c r="G363" s="461">
        <v>0</v>
      </c>
      <c r="H363" s="462"/>
      <c r="I363" s="461"/>
      <c r="J363" s="461">
        <f t="shared" si="68"/>
        <v>0</v>
      </c>
      <c r="K363" s="430"/>
      <c r="L363" s="1265"/>
    </row>
    <row r="364" spans="1:12" s="1204" customFormat="1" ht="16.5" customHeight="1" thickBot="1">
      <c r="A364" s="1260"/>
      <c r="B364" s="504">
        <v>85295</v>
      </c>
      <c r="C364" s="492" t="s">
        <v>239</v>
      </c>
      <c r="D364" s="505"/>
      <c r="E364" s="413">
        <f>E365+E373</f>
        <v>4530145</v>
      </c>
      <c r="F364" s="413">
        <f>F365+F373</f>
        <v>5347825</v>
      </c>
      <c r="G364" s="413">
        <f>G365+G373</f>
        <v>5149982</v>
      </c>
      <c r="H364" s="414">
        <f t="shared" si="77"/>
        <v>0.96300495996035773</v>
      </c>
      <c r="I364" s="413"/>
      <c r="J364" s="413">
        <f t="shared" si="68"/>
        <v>5149982</v>
      </c>
      <c r="K364" s="393">
        <f t="shared" si="69"/>
        <v>0.96300495996035773</v>
      </c>
      <c r="L364" s="841"/>
    </row>
    <row r="365" spans="1:12" s="842" customFormat="1" ht="16.5" customHeight="1">
      <c r="A365" s="1260"/>
      <c r="B365" s="2704" t="s">
        <v>219</v>
      </c>
      <c r="C365" s="2705"/>
      <c r="D365" s="740"/>
      <c r="E365" s="394">
        <f>SUM(E366:E372)</f>
        <v>4530145</v>
      </c>
      <c r="F365" s="394">
        <f>SUM(F366:F372)</f>
        <v>5307763</v>
      </c>
      <c r="G365" s="394">
        <f>SUM(G366:G372)</f>
        <v>5149982</v>
      </c>
      <c r="H365" s="395">
        <f t="shared" si="77"/>
        <v>0.97027354084950668</v>
      </c>
      <c r="I365" s="394"/>
      <c r="J365" s="394">
        <f t="shared" si="68"/>
        <v>5149982</v>
      </c>
      <c r="K365" s="395">
        <f t="shared" si="69"/>
        <v>0.97027354084950668</v>
      </c>
      <c r="L365" s="891"/>
    </row>
    <row r="366" spans="1:12" s="842" customFormat="1" ht="40.5" customHeight="1">
      <c r="A366" s="1260"/>
      <c r="B366" s="2662"/>
      <c r="C366" s="506" t="s">
        <v>411</v>
      </c>
      <c r="D366" s="1173">
        <v>2007</v>
      </c>
      <c r="E366" s="976">
        <v>2702365</v>
      </c>
      <c r="F366" s="976">
        <v>2724647</v>
      </c>
      <c r="G366" s="962">
        <v>3103864</v>
      </c>
      <c r="H366" s="1112">
        <f t="shared" si="77"/>
        <v>1.1391802314208042</v>
      </c>
      <c r="I366" s="962"/>
      <c r="J366" s="962">
        <f t="shared" si="68"/>
        <v>3103864</v>
      </c>
      <c r="K366" s="1033">
        <f t="shared" si="69"/>
        <v>1.1391802314208042</v>
      </c>
      <c r="L366" s="977"/>
    </row>
    <row r="367" spans="1:12" s="842" customFormat="1" ht="42" customHeight="1">
      <c r="A367" s="1260"/>
      <c r="B367" s="2663"/>
      <c r="C367" s="1266" t="s">
        <v>412</v>
      </c>
      <c r="D367" s="1185">
        <v>2009</v>
      </c>
      <c r="E367" s="935">
        <v>504048</v>
      </c>
      <c r="F367" s="935">
        <v>508204</v>
      </c>
      <c r="G367" s="939">
        <v>578937</v>
      </c>
      <c r="H367" s="938">
        <f t="shared" si="77"/>
        <v>1.1391822968729093</v>
      </c>
      <c r="I367" s="939"/>
      <c r="J367" s="939">
        <f t="shared" si="68"/>
        <v>578937</v>
      </c>
      <c r="K367" s="940">
        <f t="shared" si="69"/>
        <v>1.1391822968729093</v>
      </c>
      <c r="L367" s="857"/>
    </row>
    <row r="368" spans="1:12" s="842" customFormat="1" ht="45" customHeight="1">
      <c r="A368" s="1260"/>
      <c r="B368" s="2663"/>
      <c r="C368" s="1267" t="s">
        <v>411</v>
      </c>
      <c r="D368" s="1268">
        <v>2057</v>
      </c>
      <c r="E368" s="403">
        <v>1019508</v>
      </c>
      <c r="F368" s="403">
        <v>1027564</v>
      </c>
      <c r="G368" s="404">
        <v>1110149</v>
      </c>
      <c r="H368" s="483">
        <f t="shared" si="77"/>
        <v>1.0803696898684656</v>
      </c>
      <c r="I368" s="404"/>
      <c r="J368" s="404">
        <f t="shared" si="68"/>
        <v>1110149</v>
      </c>
      <c r="K368" s="405">
        <f t="shared" si="69"/>
        <v>1.0803696898684656</v>
      </c>
      <c r="L368" s="850"/>
    </row>
    <row r="369" spans="1:12" s="842" customFormat="1" ht="78.75" customHeight="1">
      <c r="A369" s="1260"/>
      <c r="B369" s="2663"/>
      <c r="C369" s="506" t="s">
        <v>413</v>
      </c>
      <c r="D369" s="1269" t="s">
        <v>311</v>
      </c>
      <c r="E369" s="939">
        <v>114064</v>
      </c>
      <c r="F369" s="939">
        <v>114064</v>
      </c>
      <c r="G369" s="939">
        <v>149965</v>
      </c>
      <c r="H369" s="940">
        <f>G369/F369</f>
        <v>1.3147443540468509</v>
      </c>
      <c r="I369" s="939"/>
      <c r="J369" s="939">
        <f t="shared" si="68"/>
        <v>149965</v>
      </c>
      <c r="K369" s="940">
        <f t="shared" si="69"/>
        <v>1.3147443540468509</v>
      </c>
      <c r="L369" s="856"/>
    </row>
    <row r="370" spans="1:12" s="842" customFormat="1" ht="39.75" customHeight="1">
      <c r="A370" s="1260"/>
      <c r="B370" s="2663"/>
      <c r="C370" s="1266" t="s">
        <v>412</v>
      </c>
      <c r="D370" s="1269" t="s">
        <v>303</v>
      </c>
      <c r="E370" s="939">
        <v>190160</v>
      </c>
      <c r="F370" s="939">
        <v>191662</v>
      </c>
      <c r="G370" s="939">
        <v>207067</v>
      </c>
      <c r="H370" s="940">
        <f t="shared" si="77"/>
        <v>1.0803758700211832</v>
      </c>
      <c r="I370" s="939"/>
      <c r="J370" s="939">
        <f t="shared" si="68"/>
        <v>207067</v>
      </c>
      <c r="K370" s="940">
        <f t="shared" si="69"/>
        <v>1.0803758700211832</v>
      </c>
      <c r="L370" s="856"/>
    </row>
    <row r="371" spans="1:12" s="842" customFormat="1" ht="53.25" hidden="1" customHeight="1">
      <c r="A371" s="1260"/>
      <c r="B371" s="2663"/>
      <c r="C371" s="507" t="s">
        <v>255</v>
      </c>
      <c r="D371" s="1269" t="s">
        <v>391</v>
      </c>
      <c r="E371" s="939">
        <v>0</v>
      </c>
      <c r="F371" s="939">
        <v>1073</v>
      </c>
      <c r="G371" s="939">
        <v>0</v>
      </c>
      <c r="H371" s="940">
        <f t="shared" si="77"/>
        <v>0</v>
      </c>
      <c r="I371" s="939"/>
      <c r="J371" s="939">
        <f t="shared" si="68"/>
        <v>0</v>
      </c>
      <c r="K371" s="940">
        <f t="shared" si="69"/>
        <v>0</v>
      </c>
      <c r="L371" s="940"/>
    </row>
    <row r="372" spans="1:12" s="842" customFormat="1" ht="47.25" hidden="1" customHeight="1">
      <c r="A372" s="1260"/>
      <c r="B372" s="2701"/>
      <c r="C372" s="507" t="s">
        <v>256</v>
      </c>
      <c r="D372" s="508" t="s">
        <v>392</v>
      </c>
      <c r="E372" s="406">
        <v>0</v>
      </c>
      <c r="F372" s="406">
        <v>740549</v>
      </c>
      <c r="G372" s="406">
        <v>0</v>
      </c>
      <c r="H372" s="407">
        <f t="shared" si="77"/>
        <v>0</v>
      </c>
      <c r="I372" s="406"/>
      <c r="J372" s="406">
        <f t="shared" si="68"/>
        <v>0</v>
      </c>
      <c r="K372" s="407">
        <f t="shared" si="69"/>
        <v>0</v>
      </c>
      <c r="L372" s="407"/>
    </row>
    <row r="373" spans="1:12" s="842" customFormat="1" ht="14.25" customHeight="1" thickBot="1">
      <c r="A373" s="1260"/>
      <c r="B373" s="2659" t="s">
        <v>223</v>
      </c>
      <c r="C373" s="2673"/>
      <c r="D373" s="1195"/>
      <c r="E373" s="966">
        <f>E374+E375</f>
        <v>0</v>
      </c>
      <c r="F373" s="966">
        <f>F374+F375</f>
        <v>40062</v>
      </c>
      <c r="G373" s="966">
        <f t="shared" ref="G373" si="79">G374+G375</f>
        <v>0</v>
      </c>
      <c r="H373" s="968">
        <f t="shared" si="77"/>
        <v>0</v>
      </c>
      <c r="I373" s="966"/>
      <c r="J373" s="966">
        <f t="shared" si="68"/>
        <v>0</v>
      </c>
      <c r="K373" s="968">
        <f t="shared" si="69"/>
        <v>0</v>
      </c>
      <c r="L373" s="863"/>
    </row>
    <row r="374" spans="1:12" s="842" customFormat="1" ht="55.5" hidden="1" customHeight="1">
      <c r="A374" s="1260"/>
      <c r="B374" s="2663"/>
      <c r="C374" s="509" t="s">
        <v>255</v>
      </c>
      <c r="D374" s="1268">
        <v>6669</v>
      </c>
      <c r="E374" s="403">
        <v>0</v>
      </c>
      <c r="F374" s="403">
        <v>2754</v>
      </c>
      <c r="G374" s="404">
        <v>0</v>
      </c>
      <c r="H374" s="483">
        <f t="shared" si="77"/>
        <v>0</v>
      </c>
      <c r="I374" s="404"/>
      <c r="J374" s="404">
        <f t="shared" si="68"/>
        <v>0</v>
      </c>
      <c r="K374" s="405">
        <f t="shared" si="69"/>
        <v>0</v>
      </c>
      <c r="L374" s="483"/>
    </row>
    <row r="375" spans="1:12" s="842" customFormat="1" ht="42" hidden="1" customHeight="1" thickBot="1">
      <c r="A375" s="1260"/>
      <c r="B375" s="2666"/>
      <c r="C375" s="510" t="s">
        <v>414</v>
      </c>
      <c r="D375" s="511">
        <v>6699</v>
      </c>
      <c r="E375" s="512">
        <v>0</v>
      </c>
      <c r="F375" s="512">
        <v>37308</v>
      </c>
      <c r="G375" s="513">
        <v>0</v>
      </c>
      <c r="H375" s="1244">
        <f t="shared" si="77"/>
        <v>0</v>
      </c>
      <c r="I375" s="513"/>
      <c r="J375" s="513">
        <f t="shared" si="68"/>
        <v>0</v>
      </c>
      <c r="K375" s="514">
        <f t="shared" si="69"/>
        <v>0</v>
      </c>
      <c r="L375" s="1244"/>
    </row>
    <row r="376" spans="1:12" s="1203" customFormat="1" ht="15.75" thickBot="1">
      <c r="A376" s="519">
        <v>853</v>
      </c>
      <c r="B376" s="496"/>
      <c r="C376" s="487" t="s">
        <v>415</v>
      </c>
      <c r="D376" s="497"/>
      <c r="E376" s="426">
        <f>SUM(E377,E383,E392)</f>
        <v>8652533</v>
      </c>
      <c r="F376" s="426">
        <f>SUM(F377,F383,F392)</f>
        <v>11770691</v>
      </c>
      <c r="G376" s="426">
        <f>SUM(G377,G383,G392)</f>
        <v>9594251</v>
      </c>
      <c r="H376" s="427">
        <f t="shared" si="77"/>
        <v>0.81509666679721693</v>
      </c>
      <c r="I376" s="426">
        <f>I377+I383</f>
        <v>-1000</v>
      </c>
      <c r="J376" s="426">
        <f t="shared" si="68"/>
        <v>9593251</v>
      </c>
      <c r="K376" s="427">
        <f t="shared" si="69"/>
        <v>0.81501171001770412</v>
      </c>
      <c r="L376" s="427"/>
    </row>
    <row r="377" spans="1:12" s="842" customFormat="1" ht="15.75" thickBot="1">
      <c r="A377" s="1270"/>
      <c r="B377" s="494">
        <v>85324</v>
      </c>
      <c r="C377" s="495" t="s">
        <v>416</v>
      </c>
      <c r="D377" s="500"/>
      <c r="E377" s="392">
        <f t="shared" ref="E377:G377" si="80">E378+E381</f>
        <v>269034</v>
      </c>
      <c r="F377" s="392">
        <f t="shared" si="80"/>
        <v>422140</v>
      </c>
      <c r="G377" s="392">
        <f t="shared" si="80"/>
        <v>422140</v>
      </c>
      <c r="H377" s="393">
        <f t="shared" si="77"/>
        <v>1</v>
      </c>
      <c r="I377" s="392">
        <f>I378</f>
        <v>0</v>
      </c>
      <c r="J377" s="392">
        <f t="shared" si="68"/>
        <v>422140</v>
      </c>
      <c r="K377" s="393">
        <f t="shared" si="69"/>
        <v>1</v>
      </c>
      <c r="L377" s="393"/>
    </row>
    <row r="378" spans="1:12" s="842" customFormat="1">
      <c r="A378" s="1270"/>
      <c r="B378" s="2671" t="s">
        <v>219</v>
      </c>
      <c r="C378" s="2671"/>
      <c r="D378" s="1157"/>
      <c r="E378" s="394">
        <f>SUM(E379:E380)</f>
        <v>269034</v>
      </c>
      <c r="F378" s="394">
        <f t="shared" ref="F378:G378" si="81">SUM(F379:F380)</f>
        <v>401140</v>
      </c>
      <c r="G378" s="394">
        <f t="shared" si="81"/>
        <v>422140</v>
      </c>
      <c r="H378" s="395">
        <f t="shared" si="77"/>
        <v>1.0523508002193749</v>
      </c>
      <c r="I378" s="394">
        <f>I379+I380</f>
        <v>0</v>
      </c>
      <c r="J378" s="394">
        <f t="shared" si="68"/>
        <v>422140</v>
      </c>
      <c r="K378" s="395">
        <f t="shared" si="69"/>
        <v>1.0523508002193749</v>
      </c>
      <c r="L378" s="395"/>
    </row>
    <row r="379" spans="1:12" s="842" customFormat="1" ht="27" customHeight="1">
      <c r="A379" s="1270"/>
      <c r="B379" s="2686"/>
      <c r="C379" s="523" t="s">
        <v>417</v>
      </c>
      <c r="D379" s="1269" t="s">
        <v>222</v>
      </c>
      <c r="E379" s="939">
        <v>269034</v>
      </c>
      <c r="F379" s="939">
        <v>0</v>
      </c>
      <c r="G379" s="939">
        <v>0</v>
      </c>
      <c r="H379" s="940"/>
      <c r="I379" s="939">
        <v>422140</v>
      </c>
      <c r="J379" s="939">
        <f t="shared" si="68"/>
        <v>422140</v>
      </c>
      <c r="K379" s="940"/>
      <c r="L379" s="940"/>
    </row>
    <row r="380" spans="1:12" s="842" customFormat="1" ht="27" hidden="1" customHeight="1">
      <c r="A380" s="1270"/>
      <c r="B380" s="2684"/>
      <c r="C380" s="1271" t="s">
        <v>1015</v>
      </c>
      <c r="D380" s="1264" t="s">
        <v>1016</v>
      </c>
      <c r="E380" s="962">
        <v>0</v>
      </c>
      <c r="F380" s="962">
        <v>401140</v>
      </c>
      <c r="G380" s="962">
        <v>422140</v>
      </c>
      <c r="H380" s="940">
        <f t="shared" ref="H380:H382" si="82">G380/F380</f>
        <v>1.0523508002193749</v>
      </c>
      <c r="I380" s="962">
        <v>-422140</v>
      </c>
      <c r="J380" s="962">
        <f t="shared" si="68"/>
        <v>0</v>
      </c>
      <c r="K380" s="1033">
        <f t="shared" si="69"/>
        <v>0</v>
      </c>
      <c r="L380" s="1033"/>
    </row>
    <row r="381" spans="1:12" s="842" customFormat="1" ht="15.75" thickBot="1">
      <c r="A381" s="1270"/>
      <c r="B381" s="2696" t="s">
        <v>223</v>
      </c>
      <c r="C381" s="2698"/>
      <c r="D381" s="1161"/>
      <c r="E381" s="1114">
        <f>E382</f>
        <v>0</v>
      </c>
      <c r="F381" s="1114">
        <f t="shared" ref="F381:G381" si="83">F382</f>
        <v>21000</v>
      </c>
      <c r="G381" s="1114">
        <f t="shared" si="83"/>
        <v>0</v>
      </c>
      <c r="H381" s="1272">
        <f t="shared" si="82"/>
        <v>0</v>
      </c>
      <c r="I381" s="1114"/>
      <c r="J381" s="1114">
        <f t="shared" si="68"/>
        <v>0</v>
      </c>
      <c r="K381" s="1115">
        <f t="shared" si="69"/>
        <v>0</v>
      </c>
      <c r="L381" s="1115"/>
    </row>
    <row r="382" spans="1:12" s="842" customFormat="1" ht="39" hidden="1" thickBot="1">
      <c r="A382" s="1273"/>
      <c r="B382" s="1274"/>
      <c r="C382" s="1275" t="s">
        <v>1017</v>
      </c>
      <c r="D382" s="1276">
        <v>6350</v>
      </c>
      <c r="E382" s="434">
        <v>0</v>
      </c>
      <c r="F382" s="434">
        <v>21000</v>
      </c>
      <c r="G382" s="434">
        <v>0</v>
      </c>
      <c r="H382" s="435">
        <f t="shared" si="82"/>
        <v>0</v>
      </c>
      <c r="I382" s="434"/>
      <c r="J382" s="434">
        <f t="shared" si="68"/>
        <v>0</v>
      </c>
      <c r="K382" s="435">
        <f t="shared" si="69"/>
        <v>0</v>
      </c>
      <c r="L382" s="1277"/>
    </row>
    <row r="383" spans="1:12" s="1204" customFormat="1" ht="15.75" thickBot="1">
      <c r="A383" s="2669"/>
      <c r="B383" s="1278">
        <v>85332</v>
      </c>
      <c r="C383" s="1279" t="s">
        <v>418</v>
      </c>
      <c r="D383" s="1280"/>
      <c r="E383" s="826">
        <f>SUM(E384,E390)</f>
        <v>8307483</v>
      </c>
      <c r="F383" s="826">
        <f>SUM(F384,F390)</f>
        <v>10746332</v>
      </c>
      <c r="G383" s="826">
        <f>SUM(G384,G390)</f>
        <v>9095065</v>
      </c>
      <c r="H383" s="827">
        <f t="shared" si="77"/>
        <v>0.8463413376768929</v>
      </c>
      <c r="I383" s="826">
        <f>I384</f>
        <v>-1000</v>
      </c>
      <c r="J383" s="826">
        <f t="shared" si="68"/>
        <v>9094065</v>
      </c>
      <c r="K383" s="827">
        <f t="shared" si="69"/>
        <v>0.84624828266984498</v>
      </c>
      <c r="L383" s="841"/>
    </row>
    <row r="384" spans="1:12" s="842" customFormat="1">
      <c r="A384" s="2669"/>
      <c r="B384" s="2710" t="s">
        <v>219</v>
      </c>
      <c r="C384" s="2711"/>
      <c r="D384" s="1281"/>
      <c r="E384" s="953">
        <f>SUM(E385:E389)</f>
        <v>8307483</v>
      </c>
      <c r="F384" s="953">
        <f>SUM(F385:F389)</f>
        <v>10746332</v>
      </c>
      <c r="G384" s="953">
        <f>SUM(G385:G389)</f>
        <v>9095065</v>
      </c>
      <c r="H384" s="954">
        <f t="shared" si="77"/>
        <v>0.8463413376768929</v>
      </c>
      <c r="I384" s="953">
        <f>I388</f>
        <v>-1000</v>
      </c>
      <c r="J384" s="953">
        <f t="shared" si="68"/>
        <v>9094065</v>
      </c>
      <c r="K384" s="954">
        <f t="shared" si="69"/>
        <v>0.84624828266984498</v>
      </c>
      <c r="L384" s="845"/>
    </row>
    <row r="385" spans="1:12" s="842" customFormat="1" ht="15" customHeight="1">
      <c r="A385" s="2669"/>
      <c r="B385" s="2712"/>
      <c r="C385" s="1282" t="s">
        <v>345</v>
      </c>
      <c r="D385" s="1283" t="s">
        <v>222</v>
      </c>
      <c r="E385" s="901">
        <v>10136</v>
      </c>
      <c r="F385" s="901">
        <v>10136</v>
      </c>
      <c r="G385" s="901">
        <v>9444</v>
      </c>
      <c r="H385" s="902">
        <f t="shared" si="77"/>
        <v>0.9317284925019732</v>
      </c>
      <c r="I385" s="901"/>
      <c r="J385" s="901">
        <f t="shared" si="68"/>
        <v>9444</v>
      </c>
      <c r="K385" s="902">
        <f t="shared" si="69"/>
        <v>0.9317284925019732</v>
      </c>
      <c r="L385" s="867"/>
    </row>
    <row r="386" spans="1:12" s="842" customFormat="1" ht="31.5" customHeight="1">
      <c r="A386" s="2669"/>
      <c r="B386" s="2712"/>
      <c r="C386" s="1284" t="s">
        <v>419</v>
      </c>
      <c r="D386" s="1285" t="s">
        <v>420</v>
      </c>
      <c r="E386" s="832">
        <v>3178000</v>
      </c>
      <c r="F386" s="832">
        <v>5616849</v>
      </c>
      <c r="G386" s="832">
        <v>3837000</v>
      </c>
      <c r="H386" s="833">
        <f t="shared" si="77"/>
        <v>0.68312322442707651</v>
      </c>
      <c r="I386" s="832"/>
      <c r="J386" s="832">
        <f t="shared" si="68"/>
        <v>3837000</v>
      </c>
      <c r="K386" s="833">
        <f t="shared" si="69"/>
        <v>0.68312322442707651</v>
      </c>
      <c r="L386" s="856"/>
    </row>
    <row r="387" spans="1:12" s="842" customFormat="1" ht="39.75" customHeight="1">
      <c r="A387" s="2669"/>
      <c r="B387" s="2712"/>
      <c r="C387" s="1284" t="s">
        <v>421</v>
      </c>
      <c r="D387" s="1286" t="s">
        <v>311</v>
      </c>
      <c r="E387" s="901">
        <v>3963347</v>
      </c>
      <c r="F387" s="901">
        <v>3963347</v>
      </c>
      <c r="G387" s="901">
        <v>4028621</v>
      </c>
      <c r="H387" s="902">
        <f t="shared" si="77"/>
        <v>1.0164694133518968</v>
      </c>
      <c r="I387" s="901"/>
      <c r="J387" s="901">
        <f t="shared" si="68"/>
        <v>4028621</v>
      </c>
      <c r="K387" s="902">
        <f t="shared" si="69"/>
        <v>1.0164694133518968</v>
      </c>
      <c r="L387" s="867"/>
    </row>
    <row r="388" spans="1:12" s="842" customFormat="1" ht="40.5" customHeight="1">
      <c r="A388" s="2669"/>
      <c r="B388" s="2712"/>
      <c r="C388" s="1287" t="s">
        <v>227</v>
      </c>
      <c r="D388" s="1288" t="s">
        <v>304</v>
      </c>
      <c r="E388" s="905">
        <v>2000</v>
      </c>
      <c r="F388" s="905">
        <v>2000</v>
      </c>
      <c r="G388" s="905">
        <v>2000</v>
      </c>
      <c r="H388" s="906">
        <f t="shared" si="77"/>
        <v>1</v>
      </c>
      <c r="I388" s="905">
        <v>-1000</v>
      </c>
      <c r="J388" s="905">
        <f t="shared" si="68"/>
        <v>1000</v>
      </c>
      <c r="K388" s="906">
        <f t="shared" si="69"/>
        <v>0.5</v>
      </c>
      <c r="L388" s="1289"/>
    </row>
    <row r="389" spans="1:12" s="842" customFormat="1" ht="24" customHeight="1">
      <c r="A389" s="2669"/>
      <c r="B389" s="2713"/>
      <c r="C389" s="1284" t="s">
        <v>1018</v>
      </c>
      <c r="D389" s="1290" t="s">
        <v>261</v>
      </c>
      <c r="E389" s="832">
        <v>1154000</v>
      </c>
      <c r="F389" s="832">
        <v>1154000</v>
      </c>
      <c r="G389" s="832">
        <v>1218000</v>
      </c>
      <c r="H389" s="833">
        <f t="shared" si="77"/>
        <v>1.0554592720970537</v>
      </c>
      <c r="I389" s="832"/>
      <c r="J389" s="832">
        <f t="shared" si="68"/>
        <v>1218000</v>
      </c>
      <c r="K389" s="833">
        <f t="shared" si="69"/>
        <v>1.0554592720970537</v>
      </c>
      <c r="L389" s="856"/>
    </row>
    <row r="390" spans="1:12" s="842" customFormat="1" ht="15.75" thickBot="1">
      <c r="A390" s="2669"/>
      <c r="B390" s="2714" t="s">
        <v>223</v>
      </c>
      <c r="C390" s="2715"/>
      <c r="D390" s="1291"/>
      <c r="E390" s="914">
        <f>E391</f>
        <v>0</v>
      </c>
      <c r="F390" s="914">
        <f t="shared" ref="F390:G390" si="84">F391</f>
        <v>0</v>
      </c>
      <c r="G390" s="914">
        <f t="shared" si="84"/>
        <v>0</v>
      </c>
      <c r="H390" s="915"/>
      <c r="I390" s="914"/>
      <c r="J390" s="914">
        <f t="shared" si="68"/>
        <v>0</v>
      </c>
      <c r="K390" s="915"/>
      <c r="L390" s="897"/>
    </row>
    <row r="391" spans="1:12" s="842" customFormat="1" ht="42.75" hidden="1" customHeight="1" thickBot="1">
      <c r="A391" s="1199"/>
      <c r="B391" s="1292"/>
      <c r="C391" s="1293"/>
      <c r="D391" s="1294"/>
      <c r="E391" s="1295"/>
      <c r="F391" s="1296"/>
      <c r="G391" s="1297"/>
      <c r="H391" s="1298"/>
      <c r="I391" s="1297"/>
      <c r="J391" s="1297">
        <f t="shared" si="68"/>
        <v>0</v>
      </c>
      <c r="K391" s="1192" t="e">
        <f t="shared" si="69"/>
        <v>#DIV/0!</v>
      </c>
      <c r="L391" s="1298"/>
    </row>
    <row r="392" spans="1:12" s="842" customFormat="1" ht="18.75" customHeight="1" thickBot="1">
      <c r="A392" s="1199"/>
      <c r="B392" s="494">
        <v>85395</v>
      </c>
      <c r="C392" s="489" t="s">
        <v>239</v>
      </c>
      <c r="D392" s="495"/>
      <c r="E392" s="392">
        <f>SUM(E393+E401)</f>
        <v>76016</v>
      </c>
      <c r="F392" s="392">
        <f>SUM(F393+F401)</f>
        <v>602219</v>
      </c>
      <c r="G392" s="392">
        <f>SUM(G393+G401)</f>
        <v>77046</v>
      </c>
      <c r="H392" s="393">
        <f t="shared" si="77"/>
        <v>0.12793684689456825</v>
      </c>
      <c r="I392" s="392"/>
      <c r="J392" s="392">
        <f t="shared" si="68"/>
        <v>77046</v>
      </c>
      <c r="K392" s="393">
        <f t="shared" si="69"/>
        <v>0.12793684689456825</v>
      </c>
      <c r="L392" s="841"/>
    </row>
    <row r="393" spans="1:12" s="842" customFormat="1" ht="15" customHeight="1">
      <c r="A393" s="1199"/>
      <c r="B393" s="2716" t="s">
        <v>219</v>
      </c>
      <c r="C393" s="2717"/>
      <c r="D393" s="1240"/>
      <c r="E393" s="401">
        <f>SUM(E394:E400)</f>
        <v>76016</v>
      </c>
      <c r="F393" s="401">
        <f>SUM(F394:F400)</f>
        <v>601120</v>
      </c>
      <c r="G393" s="401">
        <f>SUM(G394:G400)</f>
        <v>77046</v>
      </c>
      <c r="H393" s="402">
        <f t="shared" si="77"/>
        <v>0.12817074793718392</v>
      </c>
      <c r="I393" s="401"/>
      <c r="J393" s="401">
        <f t="shared" si="68"/>
        <v>77046</v>
      </c>
      <c r="K393" s="402">
        <f t="shared" si="69"/>
        <v>0.12817074793718392</v>
      </c>
      <c r="L393" s="845"/>
    </row>
    <row r="394" spans="1:12" s="842" customFormat="1" ht="67.5" customHeight="1">
      <c r="A394" s="1199"/>
      <c r="B394" s="2686"/>
      <c r="C394" s="1299" t="s">
        <v>422</v>
      </c>
      <c r="D394" s="1185">
        <v>2057</v>
      </c>
      <c r="E394" s="935">
        <v>64066</v>
      </c>
      <c r="F394" s="935">
        <v>72969</v>
      </c>
      <c r="G394" s="939">
        <v>64934</v>
      </c>
      <c r="H394" s="938">
        <f t="shared" si="77"/>
        <v>0.88988474557688879</v>
      </c>
      <c r="I394" s="939"/>
      <c r="J394" s="939">
        <f t="shared" si="68"/>
        <v>64934</v>
      </c>
      <c r="K394" s="940">
        <f t="shared" si="69"/>
        <v>0.88988474557688879</v>
      </c>
      <c r="L394" s="938"/>
    </row>
    <row r="395" spans="1:12" s="842" customFormat="1" ht="63" customHeight="1">
      <c r="A395" s="1199"/>
      <c r="B395" s="2684"/>
      <c r="C395" s="1300" t="s">
        <v>1019</v>
      </c>
      <c r="D395" s="1185">
        <v>2059</v>
      </c>
      <c r="E395" s="935">
        <v>11950</v>
      </c>
      <c r="F395" s="935">
        <v>13611</v>
      </c>
      <c r="G395" s="939">
        <v>12112</v>
      </c>
      <c r="H395" s="938">
        <f t="shared" si="77"/>
        <v>0.88986848872235691</v>
      </c>
      <c r="I395" s="939"/>
      <c r="J395" s="939">
        <f t="shared" si="68"/>
        <v>12112</v>
      </c>
      <c r="K395" s="940">
        <f t="shared" si="69"/>
        <v>0.88986848872235691</v>
      </c>
      <c r="L395" s="938"/>
    </row>
    <row r="396" spans="1:12" s="842" customFormat="1" ht="42" hidden="1" customHeight="1">
      <c r="A396" s="1199"/>
      <c r="B396" s="2684"/>
      <c r="C396" s="1301" t="s">
        <v>423</v>
      </c>
      <c r="D396" s="1302">
        <v>2918</v>
      </c>
      <c r="E396" s="1142">
        <v>0</v>
      </c>
      <c r="F396" s="1142">
        <v>1133</v>
      </c>
      <c r="G396" s="905">
        <v>0</v>
      </c>
      <c r="H396" s="1303">
        <f t="shared" si="77"/>
        <v>0</v>
      </c>
      <c r="I396" s="905"/>
      <c r="J396" s="905">
        <f t="shared" si="68"/>
        <v>0</v>
      </c>
      <c r="K396" s="906">
        <f t="shared" si="69"/>
        <v>0</v>
      </c>
      <c r="L396" s="1112"/>
    </row>
    <row r="397" spans="1:12" s="842" customFormat="1" ht="50.25" hidden="1" customHeight="1">
      <c r="A397" s="1199"/>
      <c r="B397" s="2684"/>
      <c r="C397" s="1301" t="s">
        <v>255</v>
      </c>
      <c r="D397" s="2706">
        <v>2919</v>
      </c>
      <c r="E397" s="1142">
        <v>0</v>
      </c>
      <c r="F397" s="1142">
        <v>834</v>
      </c>
      <c r="G397" s="905">
        <v>0</v>
      </c>
      <c r="H397" s="1303">
        <f t="shared" si="77"/>
        <v>0</v>
      </c>
      <c r="I397" s="905"/>
      <c r="J397" s="905">
        <f t="shared" ref="J397:J460" si="85">G397+I397</f>
        <v>0</v>
      </c>
      <c r="K397" s="906">
        <f t="shared" ref="K397:K460" si="86">J397/F397</f>
        <v>0</v>
      </c>
      <c r="L397" s="1112"/>
    </row>
    <row r="398" spans="1:12" s="842" customFormat="1" ht="48" hidden="1" customHeight="1">
      <c r="A398" s="1199"/>
      <c r="B398" s="2684"/>
      <c r="C398" s="1304" t="s">
        <v>423</v>
      </c>
      <c r="D398" s="2707"/>
      <c r="E398" s="971">
        <v>0</v>
      </c>
      <c r="F398" s="971">
        <v>201</v>
      </c>
      <c r="G398" s="832">
        <v>0</v>
      </c>
      <c r="H398" s="972">
        <f t="shared" si="77"/>
        <v>0</v>
      </c>
      <c r="I398" s="832"/>
      <c r="J398" s="832">
        <f t="shared" si="85"/>
        <v>0</v>
      </c>
      <c r="K398" s="833">
        <f t="shared" si="86"/>
        <v>0</v>
      </c>
      <c r="L398" s="938"/>
    </row>
    <row r="399" spans="1:12" s="842" customFormat="1" ht="39.75" hidden="1" customHeight="1">
      <c r="A399" s="1199"/>
      <c r="B399" s="2684"/>
      <c r="C399" s="515" t="s">
        <v>256</v>
      </c>
      <c r="D399" s="2706">
        <v>2959</v>
      </c>
      <c r="E399" s="1142">
        <v>0</v>
      </c>
      <c r="F399" s="1142">
        <v>490800</v>
      </c>
      <c r="G399" s="905">
        <v>0</v>
      </c>
      <c r="H399" s="1303">
        <f t="shared" si="77"/>
        <v>0</v>
      </c>
      <c r="I399" s="905"/>
      <c r="J399" s="905">
        <f t="shared" si="85"/>
        <v>0</v>
      </c>
      <c r="K399" s="906">
        <f t="shared" si="86"/>
        <v>0</v>
      </c>
      <c r="L399" s="1112"/>
    </row>
    <row r="400" spans="1:12" s="842" customFormat="1" ht="38.25" hidden="1" customHeight="1">
      <c r="A400" s="1199"/>
      <c r="B400" s="2684"/>
      <c r="C400" s="1305" t="s">
        <v>424</v>
      </c>
      <c r="D400" s="2707"/>
      <c r="E400" s="1142">
        <v>0</v>
      </c>
      <c r="F400" s="1142">
        <v>21572</v>
      </c>
      <c r="G400" s="905">
        <v>0</v>
      </c>
      <c r="H400" s="1303">
        <f t="shared" si="77"/>
        <v>0</v>
      </c>
      <c r="I400" s="905"/>
      <c r="J400" s="905">
        <f t="shared" si="85"/>
        <v>0</v>
      </c>
      <c r="K400" s="906">
        <f t="shared" si="86"/>
        <v>0</v>
      </c>
      <c r="L400" s="1112"/>
    </row>
    <row r="401" spans="1:12" s="842" customFormat="1" ht="15" customHeight="1" thickBot="1">
      <c r="A401" s="1199"/>
      <c r="B401" s="2659" t="s">
        <v>223</v>
      </c>
      <c r="C401" s="2660"/>
      <c r="D401" s="1175"/>
      <c r="E401" s="966">
        <f>E402</f>
        <v>0</v>
      </c>
      <c r="F401" s="966">
        <f t="shared" ref="F401:G401" si="87">F402</f>
        <v>1099</v>
      </c>
      <c r="G401" s="966">
        <f t="shared" si="87"/>
        <v>0</v>
      </c>
      <c r="H401" s="968">
        <f t="shared" si="77"/>
        <v>0</v>
      </c>
      <c r="I401" s="966"/>
      <c r="J401" s="966">
        <f t="shared" si="85"/>
        <v>0</v>
      </c>
      <c r="K401" s="968">
        <f t="shared" si="86"/>
        <v>0</v>
      </c>
      <c r="L401" s="968"/>
    </row>
    <row r="402" spans="1:12" s="842" customFormat="1" ht="42.75" hidden="1" customHeight="1" thickBot="1">
      <c r="A402" s="1199"/>
      <c r="B402" s="516"/>
      <c r="C402" s="517" t="s">
        <v>256</v>
      </c>
      <c r="D402" s="511">
        <v>6699</v>
      </c>
      <c r="E402" s="490">
        <v>0</v>
      </c>
      <c r="F402" s="490">
        <v>1099</v>
      </c>
      <c r="G402" s="406">
        <v>0</v>
      </c>
      <c r="H402" s="1110">
        <f t="shared" si="77"/>
        <v>0</v>
      </c>
      <c r="I402" s="406"/>
      <c r="J402" s="406">
        <f t="shared" si="85"/>
        <v>0</v>
      </c>
      <c r="K402" s="407">
        <f t="shared" si="86"/>
        <v>0</v>
      </c>
      <c r="L402" s="1110"/>
    </row>
    <row r="403" spans="1:12" s="984" customFormat="1" ht="15.75" thickBot="1">
      <c r="A403" s="518">
        <v>855</v>
      </c>
      <c r="B403" s="519"/>
      <c r="C403" s="487" t="s">
        <v>163</v>
      </c>
      <c r="D403" s="497"/>
      <c r="E403" s="387">
        <f>SUM(E410,E414,E404)</f>
        <v>3949500</v>
      </c>
      <c r="F403" s="387">
        <f>SUM(F410,F414,F404)</f>
        <v>4302684</v>
      </c>
      <c r="G403" s="387">
        <f>SUM(G410,G414,G404)</f>
        <v>3820778</v>
      </c>
      <c r="H403" s="388">
        <f t="shared" si="77"/>
        <v>0.88799874682872371</v>
      </c>
      <c r="I403" s="387">
        <f>I414</f>
        <v>114268</v>
      </c>
      <c r="J403" s="387">
        <f t="shared" si="85"/>
        <v>3935046</v>
      </c>
      <c r="K403" s="388">
        <f t="shared" si="86"/>
        <v>0.9145561235730999</v>
      </c>
      <c r="L403" s="388"/>
    </row>
    <row r="404" spans="1:12" s="984" customFormat="1" ht="33" hidden="1" customHeight="1" thickBot="1">
      <c r="A404" s="1224"/>
      <c r="B404" s="520">
        <v>85504</v>
      </c>
      <c r="C404" s="489" t="s">
        <v>425</v>
      </c>
      <c r="D404" s="521"/>
      <c r="E404" s="416">
        <f>E405+E409</f>
        <v>757868</v>
      </c>
      <c r="F404" s="416">
        <f>F405+F409</f>
        <v>758345</v>
      </c>
      <c r="G404" s="416">
        <f>G405+G409</f>
        <v>0</v>
      </c>
      <c r="H404" s="417">
        <f t="shared" si="77"/>
        <v>0</v>
      </c>
      <c r="I404" s="416"/>
      <c r="J404" s="416">
        <f t="shared" si="85"/>
        <v>0</v>
      </c>
      <c r="K404" s="417">
        <f t="shared" si="86"/>
        <v>0</v>
      </c>
      <c r="L404" s="1058"/>
    </row>
    <row r="405" spans="1:12" s="984" customFormat="1" ht="15.75" hidden="1" thickBot="1">
      <c r="A405" s="1224"/>
      <c r="B405" s="2671" t="s">
        <v>219</v>
      </c>
      <c r="C405" s="2671"/>
      <c r="D405" s="1157"/>
      <c r="E405" s="431">
        <f>SUM(E406:E408)</f>
        <v>757868</v>
      </c>
      <c r="F405" s="431">
        <f>SUM(F406:F408)</f>
        <v>758345</v>
      </c>
      <c r="G405" s="431">
        <f>SUM(G406:G408)</f>
        <v>0</v>
      </c>
      <c r="H405" s="432">
        <f t="shared" si="77"/>
        <v>0</v>
      </c>
      <c r="I405" s="431"/>
      <c r="J405" s="431">
        <f t="shared" si="85"/>
        <v>0</v>
      </c>
      <c r="K405" s="432">
        <f t="shared" si="86"/>
        <v>0</v>
      </c>
      <c r="L405" s="1178"/>
    </row>
    <row r="406" spans="1:12" s="984" customFormat="1" ht="27.75" hidden="1" customHeight="1">
      <c r="A406" s="1224"/>
      <c r="B406" s="2686"/>
      <c r="C406" s="2708" t="s">
        <v>426</v>
      </c>
      <c r="D406" s="1269" t="s">
        <v>427</v>
      </c>
      <c r="E406" s="939">
        <v>365688</v>
      </c>
      <c r="F406" s="939">
        <v>428042</v>
      </c>
      <c r="G406" s="939">
        <v>0</v>
      </c>
      <c r="H406" s="940">
        <f t="shared" si="77"/>
        <v>0</v>
      </c>
      <c r="I406" s="939"/>
      <c r="J406" s="939">
        <f t="shared" si="85"/>
        <v>0</v>
      </c>
      <c r="K406" s="940">
        <f t="shared" si="86"/>
        <v>0</v>
      </c>
      <c r="L406" s="856"/>
    </row>
    <row r="407" spans="1:12" s="984" customFormat="1" ht="25.5" hidden="1" customHeight="1">
      <c r="A407" s="1224"/>
      <c r="B407" s="2684"/>
      <c r="C407" s="2709"/>
      <c r="D407" s="1269" t="s">
        <v>381</v>
      </c>
      <c r="E407" s="939">
        <v>292824</v>
      </c>
      <c r="F407" s="939">
        <v>230740</v>
      </c>
      <c r="G407" s="939">
        <v>0</v>
      </c>
      <c r="H407" s="940">
        <f t="shared" si="77"/>
        <v>0</v>
      </c>
      <c r="I407" s="939"/>
      <c r="J407" s="939">
        <f t="shared" si="85"/>
        <v>0</v>
      </c>
      <c r="K407" s="940">
        <f t="shared" si="86"/>
        <v>0</v>
      </c>
      <c r="L407" s="856"/>
    </row>
    <row r="408" spans="1:12" s="984" customFormat="1" ht="49.5" hidden="1" customHeight="1">
      <c r="A408" s="1224"/>
      <c r="B408" s="2684"/>
      <c r="C408" s="522" t="s">
        <v>428</v>
      </c>
      <c r="D408" s="1269" t="s">
        <v>303</v>
      </c>
      <c r="E408" s="939">
        <v>99356</v>
      </c>
      <c r="F408" s="939">
        <v>99563</v>
      </c>
      <c r="G408" s="939">
        <v>0</v>
      </c>
      <c r="H408" s="940">
        <f t="shared" si="77"/>
        <v>0</v>
      </c>
      <c r="I408" s="939"/>
      <c r="J408" s="939">
        <f t="shared" si="85"/>
        <v>0</v>
      </c>
      <c r="K408" s="940">
        <f t="shared" si="86"/>
        <v>0</v>
      </c>
      <c r="L408" s="856"/>
    </row>
    <row r="409" spans="1:12" s="984" customFormat="1" ht="15.75" hidden="1" thickBot="1">
      <c r="A409" s="1224"/>
      <c r="B409" s="2679" t="s">
        <v>223</v>
      </c>
      <c r="C409" s="2680"/>
      <c r="D409" s="1207"/>
      <c r="E409" s="397">
        <v>0</v>
      </c>
      <c r="F409" s="397">
        <v>0</v>
      </c>
      <c r="G409" s="397">
        <v>0</v>
      </c>
      <c r="H409" s="398"/>
      <c r="I409" s="397"/>
      <c r="J409" s="397">
        <f t="shared" si="85"/>
        <v>0</v>
      </c>
      <c r="K409" s="398"/>
      <c r="L409" s="1071"/>
    </row>
    <row r="410" spans="1:12" s="984" customFormat="1" ht="15.75" thickBot="1">
      <c r="A410" s="1224"/>
      <c r="B410" s="520">
        <v>85509</v>
      </c>
      <c r="C410" s="495" t="s">
        <v>429</v>
      </c>
      <c r="D410" s="521"/>
      <c r="E410" s="392">
        <f t="shared" ref="E410:G410" si="88">SUM(E411,E413)</f>
        <v>784000</v>
      </c>
      <c r="F410" s="392">
        <f t="shared" si="88"/>
        <v>784000</v>
      </c>
      <c r="G410" s="392">
        <f t="shared" si="88"/>
        <v>822000</v>
      </c>
      <c r="H410" s="393">
        <f t="shared" si="77"/>
        <v>1.0484693877551021</v>
      </c>
      <c r="I410" s="392"/>
      <c r="J410" s="392">
        <f t="shared" si="85"/>
        <v>822000</v>
      </c>
      <c r="K410" s="393">
        <f t="shared" si="86"/>
        <v>1.0484693877551021</v>
      </c>
      <c r="L410" s="393"/>
    </row>
    <row r="411" spans="1:12" s="984" customFormat="1">
      <c r="A411" s="1224"/>
      <c r="B411" s="2671" t="s">
        <v>219</v>
      </c>
      <c r="C411" s="2671"/>
      <c r="D411" s="1157"/>
      <c r="E411" s="394">
        <f t="shared" ref="E411:G411" si="89">SUM(E412)</f>
        <v>784000</v>
      </c>
      <c r="F411" s="394">
        <f t="shared" si="89"/>
        <v>784000</v>
      </c>
      <c r="G411" s="394">
        <f t="shared" si="89"/>
        <v>822000</v>
      </c>
      <c r="H411" s="395">
        <f t="shared" si="77"/>
        <v>1.0484693877551021</v>
      </c>
      <c r="I411" s="394"/>
      <c r="J411" s="394">
        <f t="shared" si="85"/>
        <v>822000</v>
      </c>
      <c r="K411" s="395">
        <f t="shared" si="86"/>
        <v>1.0484693877551021</v>
      </c>
      <c r="L411" s="395"/>
    </row>
    <row r="412" spans="1:12" s="984" customFormat="1" ht="38.25">
      <c r="A412" s="1224"/>
      <c r="B412" s="1306"/>
      <c r="C412" s="1159" t="s">
        <v>227</v>
      </c>
      <c r="D412" s="1177" t="s">
        <v>304</v>
      </c>
      <c r="E412" s="939">
        <v>784000</v>
      </c>
      <c r="F412" s="939">
        <v>784000</v>
      </c>
      <c r="G412" s="939">
        <v>822000</v>
      </c>
      <c r="H412" s="940">
        <f t="shared" si="77"/>
        <v>1.0484693877551021</v>
      </c>
      <c r="I412" s="939"/>
      <c r="J412" s="939">
        <f t="shared" si="85"/>
        <v>822000</v>
      </c>
      <c r="K412" s="940">
        <f t="shared" si="86"/>
        <v>1.0484693877551021</v>
      </c>
      <c r="L412" s="1045" t="s">
        <v>971</v>
      </c>
    </row>
    <row r="413" spans="1:12" s="984" customFormat="1" ht="15.75" thickBot="1">
      <c r="A413" s="1224"/>
      <c r="B413" s="2659" t="s">
        <v>223</v>
      </c>
      <c r="C413" s="2660"/>
      <c r="D413" s="1175"/>
      <c r="E413" s="461">
        <v>0</v>
      </c>
      <c r="F413" s="461">
        <v>0</v>
      </c>
      <c r="G413" s="461">
        <v>0</v>
      </c>
      <c r="H413" s="462"/>
      <c r="I413" s="461"/>
      <c r="J413" s="461">
        <f t="shared" si="85"/>
        <v>0</v>
      </c>
      <c r="K413" s="432"/>
      <c r="L413" s="432"/>
    </row>
    <row r="414" spans="1:12" s="984" customFormat="1" ht="15.75" thickBot="1">
      <c r="A414" s="1224"/>
      <c r="B414" s="1307">
        <v>85510</v>
      </c>
      <c r="C414" s="1308" t="s">
        <v>430</v>
      </c>
      <c r="D414" s="1309"/>
      <c r="E414" s="413">
        <f t="shared" ref="E414:G414" si="90">SUM(E415,E419)</f>
        <v>2407632</v>
      </c>
      <c r="F414" s="413">
        <f t="shared" si="90"/>
        <v>2760339</v>
      </c>
      <c r="G414" s="413">
        <f t="shared" si="90"/>
        <v>2998778</v>
      </c>
      <c r="H414" s="414">
        <f t="shared" ref="H414:H481" si="91">G414/F414</f>
        <v>1.0863803322707828</v>
      </c>
      <c r="I414" s="413">
        <f>I415</f>
        <v>114268</v>
      </c>
      <c r="J414" s="413">
        <f t="shared" si="85"/>
        <v>3113046</v>
      </c>
      <c r="K414" s="393">
        <f t="shared" si="86"/>
        <v>1.1277766969926519</v>
      </c>
      <c r="L414" s="393"/>
    </row>
    <row r="415" spans="1:12" s="984" customFormat="1" ht="15.75" customHeight="1">
      <c r="A415" s="1199"/>
      <c r="B415" s="2719" t="s">
        <v>219</v>
      </c>
      <c r="C415" s="2671"/>
      <c r="D415" s="1157"/>
      <c r="E415" s="394">
        <f>SUM(E416:E418,)</f>
        <v>2407632</v>
      </c>
      <c r="F415" s="394">
        <f>SUM(F416:F418,)</f>
        <v>2760339</v>
      </c>
      <c r="G415" s="394">
        <f>SUM(G416:G418,)</f>
        <v>2998778</v>
      </c>
      <c r="H415" s="395">
        <f>G415/F415</f>
        <v>1.0863803322707828</v>
      </c>
      <c r="I415" s="394">
        <f>I416</f>
        <v>114268</v>
      </c>
      <c r="J415" s="394">
        <f t="shared" si="85"/>
        <v>3113046</v>
      </c>
      <c r="K415" s="395">
        <f t="shared" si="86"/>
        <v>1.1277766969926519</v>
      </c>
      <c r="L415" s="395"/>
    </row>
    <row r="416" spans="1:12" s="984" customFormat="1" ht="43.5" customHeight="1">
      <c r="A416" s="1199"/>
      <c r="B416" s="2720"/>
      <c r="C416" s="1159" t="s">
        <v>431</v>
      </c>
      <c r="D416" s="1177" t="s">
        <v>432</v>
      </c>
      <c r="E416" s="939">
        <v>2407632</v>
      </c>
      <c r="F416" s="939">
        <v>2759640</v>
      </c>
      <c r="G416" s="939">
        <v>2998778</v>
      </c>
      <c r="H416" s="940">
        <f t="shared" si="91"/>
        <v>1.0866555057906104</v>
      </c>
      <c r="I416" s="939">
        <v>114268</v>
      </c>
      <c r="J416" s="939">
        <f t="shared" si="85"/>
        <v>3113046</v>
      </c>
      <c r="K416" s="940">
        <f t="shared" si="86"/>
        <v>1.1280623559594729</v>
      </c>
      <c r="L416" s="940"/>
    </row>
    <row r="417" spans="1:12" s="984" customFormat="1" ht="52.5" hidden="1" customHeight="1">
      <c r="A417" s="1199"/>
      <c r="B417" s="2721"/>
      <c r="C417" s="1159" t="s">
        <v>433</v>
      </c>
      <c r="D417" s="1310" t="s">
        <v>434</v>
      </c>
      <c r="E417" s="939">
        <v>0</v>
      </c>
      <c r="F417" s="939">
        <v>71</v>
      </c>
      <c r="G417" s="939">
        <v>0</v>
      </c>
      <c r="H417" s="940">
        <f t="shared" si="91"/>
        <v>0</v>
      </c>
      <c r="I417" s="939"/>
      <c r="J417" s="939">
        <f t="shared" si="85"/>
        <v>0</v>
      </c>
      <c r="K417" s="940">
        <f t="shared" si="86"/>
        <v>0</v>
      </c>
      <c r="L417" s="940"/>
    </row>
    <row r="418" spans="1:12" s="984" customFormat="1" ht="17.25" hidden="1" customHeight="1">
      <c r="A418" s="1199"/>
      <c r="B418" s="2722"/>
      <c r="C418" s="1179" t="s">
        <v>262</v>
      </c>
      <c r="D418" s="1310" t="s">
        <v>263</v>
      </c>
      <c r="E418" s="404">
        <v>0</v>
      </c>
      <c r="F418" s="404">
        <v>628</v>
      </c>
      <c r="G418" s="404">
        <v>0</v>
      </c>
      <c r="H418" s="405">
        <f t="shared" si="91"/>
        <v>0</v>
      </c>
      <c r="I418" s="404"/>
      <c r="J418" s="404">
        <f t="shared" si="85"/>
        <v>0</v>
      </c>
      <c r="K418" s="405">
        <f t="shared" si="86"/>
        <v>0</v>
      </c>
      <c r="L418" s="405"/>
    </row>
    <row r="419" spans="1:12" s="1312" customFormat="1" ht="15.75" customHeight="1" thickBot="1">
      <c r="A419" s="1311"/>
      <c r="B419" s="2679" t="s">
        <v>223</v>
      </c>
      <c r="C419" s="2680"/>
      <c r="D419" s="1207"/>
      <c r="E419" s="429">
        <v>0</v>
      </c>
      <c r="F419" s="429">
        <v>0</v>
      </c>
      <c r="G419" s="429">
        <v>0</v>
      </c>
      <c r="H419" s="430"/>
      <c r="I419" s="429"/>
      <c r="J419" s="429">
        <f t="shared" si="85"/>
        <v>0</v>
      </c>
      <c r="K419" s="430"/>
      <c r="L419" s="430"/>
    </row>
    <row r="420" spans="1:12" s="1315" customFormat="1" ht="15.75" thickBot="1">
      <c r="A420" s="485">
        <v>900</v>
      </c>
      <c r="B420" s="486"/>
      <c r="C420" s="1313" t="s">
        <v>435</v>
      </c>
      <c r="D420" s="1314"/>
      <c r="E420" s="822">
        <f>SUM(E425,E433,E437,E444,E429,E421,E454,E450)</f>
        <v>512700</v>
      </c>
      <c r="F420" s="822">
        <f t="shared" ref="F420:G420" si="92">SUM(F425,F433,F437,F444,F429,F421,F454,F450)</f>
        <v>915549</v>
      </c>
      <c r="G420" s="822">
        <f t="shared" si="92"/>
        <v>507630</v>
      </c>
      <c r="H420" s="823">
        <f t="shared" si="91"/>
        <v>0.55445421271827067</v>
      </c>
      <c r="I420" s="822"/>
      <c r="J420" s="822">
        <f t="shared" si="85"/>
        <v>507630</v>
      </c>
      <c r="K420" s="823">
        <f t="shared" si="86"/>
        <v>0.55445421271827067</v>
      </c>
      <c r="L420" s="823"/>
    </row>
    <row r="421" spans="1:12" s="1315" customFormat="1" ht="15.75" hidden="1" thickBot="1">
      <c r="A421" s="738"/>
      <c r="B421" s="488">
        <v>90002</v>
      </c>
      <c r="C421" s="1279" t="s">
        <v>958</v>
      </c>
      <c r="D421" s="1280"/>
      <c r="E421" s="826">
        <f>SUM(E422,E424)</f>
        <v>100000</v>
      </c>
      <c r="F421" s="826">
        <f t="shared" ref="F421:G421" si="93">SUM(F422,F424)</f>
        <v>0</v>
      </c>
      <c r="G421" s="826">
        <f t="shared" si="93"/>
        <v>0</v>
      </c>
      <c r="H421" s="827"/>
      <c r="I421" s="826"/>
      <c r="J421" s="826">
        <f t="shared" si="85"/>
        <v>0</v>
      </c>
      <c r="K421" s="827"/>
      <c r="L421" s="827"/>
    </row>
    <row r="422" spans="1:12" s="1315" customFormat="1" ht="15.75" hidden="1" thickBot="1">
      <c r="A422" s="738"/>
      <c r="B422" s="2718" t="s">
        <v>219</v>
      </c>
      <c r="C422" s="2718"/>
      <c r="D422" s="1316"/>
      <c r="E422" s="829">
        <f>SUM(E423)</f>
        <v>100000</v>
      </c>
      <c r="F422" s="829">
        <f t="shared" ref="F422" si="94">SUM(F423)</f>
        <v>0</v>
      </c>
      <c r="G422" s="829">
        <f>SUM(G423)</f>
        <v>0</v>
      </c>
      <c r="H422" s="830"/>
      <c r="I422" s="829"/>
      <c r="J422" s="829">
        <f t="shared" si="85"/>
        <v>0</v>
      </c>
      <c r="K422" s="830"/>
      <c r="L422" s="830"/>
    </row>
    <row r="423" spans="1:12" s="1315" customFormat="1" ht="39" hidden="1" thickBot="1">
      <c r="A423" s="738"/>
      <c r="B423" s="1317"/>
      <c r="C423" s="1287" t="s">
        <v>436</v>
      </c>
      <c r="D423" s="1288" t="s">
        <v>236</v>
      </c>
      <c r="E423" s="832">
        <v>100000</v>
      </c>
      <c r="F423" s="832">
        <v>0</v>
      </c>
      <c r="G423" s="832">
        <v>0</v>
      </c>
      <c r="H423" s="833"/>
      <c r="I423" s="832"/>
      <c r="J423" s="832">
        <f t="shared" si="85"/>
        <v>0</v>
      </c>
      <c r="K423" s="833"/>
      <c r="L423" s="833"/>
    </row>
    <row r="424" spans="1:12" s="1315" customFormat="1" ht="15.75" hidden="1" thickBot="1">
      <c r="A424" s="738"/>
      <c r="B424" s="2714" t="s">
        <v>223</v>
      </c>
      <c r="C424" s="2715"/>
      <c r="D424" s="1291"/>
      <c r="E424" s="914">
        <v>0</v>
      </c>
      <c r="F424" s="914">
        <v>0</v>
      </c>
      <c r="G424" s="914">
        <v>0</v>
      </c>
      <c r="H424" s="915"/>
      <c r="I424" s="914"/>
      <c r="J424" s="914">
        <f t="shared" si="85"/>
        <v>0</v>
      </c>
      <c r="K424" s="915"/>
      <c r="L424" s="915"/>
    </row>
    <row r="425" spans="1:12" s="1203" customFormat="1" ht="15.75" hidden="1" thickBot="1">
      <c r="A425" s="1239"/>
      <c r="B425" s="1278">
        <v>90005</v>
      </c>
      <c r="C425" s="1279" t="s">
        <v>437</v>
      </c>
      <c r="D425" s="1280"/>
      <c r="E425" s="898">
        <f>SUM(E426,E428)</f>
        <v>0</v>
      </c>
      <c r="F425" s="898">
        <f>SUM(F426,F428)</f>
        <v>230000</v>
      </c>
      <c r="G425" s="898">
        <f>SUM(G426,G428)</f>
        <v>0</v>
      </c>
      <c r="H425" s="899">
        <f t="shared" si="91"/>
        <v>0</v>
      </c>
      <c r="I425" s="898"/>
      <c r="J425" s="898">
        <f t="shared" si="85"/>
        <v>0</v>
      </c>
      <c r="K425" s="899">
        <f t="shared" si="86"/>
        <v>0</v>
      </c>
      <c r="L425" s="1058"/>
    </row>
    <row r="426" spans="1:12" s="1203" customFormat="1" ht="15.75" hidden="1" thickBot="1">
      <c r="A426" s="1239"/>
      <c r="B426" s="2718" t="s">
        <v>219</v>
      </c>
      <c r="C426" s="2718"/>
      <c r="D426" s="1316"/>
      <c r="E426" s="829">
        <f t="shared" ref="E426:G426" si="95">SUM(E427)</f>
        <v>0</v>
      </c>
      <c r="F426" s="829">
        <f t="shared" si="95"/>
        <v>230000</v>
      </c>
      <c r="G426" s="829">
        <f t="shared" si="95"/>
        <v>0</v>
      </c>
      <c r="H426" s="830">
        <f t="shared" si="91"/>
        <v>0</v>
      </c>
      <c r="I426" s="829"/>
      <c r="J426" s="829">
        <f t="shared" si="85"/>
        <v>0</v>
      </c>
      <c r="K426" s="830">
        <f t="shared" si="86"/>
        <v>0</v>
      </c>
      <c r="L426" s="891"/>
    </row>
    <row r="427" spans="1:12" s="1203" customFormat="1" ht="28.5" hidden="1" customHeight="1">
      <c r="A427" s="1239"/>
      <c r="B427" s="1317"/>
      <c r="C427" s="1318" t="s">
        <v>240</v>
      </c>
      <c r="D427" s="1288" t="s">
        <v>438</v>
      </c>
      <c r="E427" s="832">
        <v>0</v>
      </c>
      <c r="F427" s="832">
        <v>230000</v>
      </c>
      <c r="G427" s="832">
        <v>0</v>
      </c>
      <c r="H427" s="833">
        <f t="shared" si="91"/>
        <v>0</v>
      </c>
      <c r="I427" s="832"/>
      <c r="J427" s="832">
        <f t="shared" si="85"/>
        <v>0</v>
      </c>
      <c r="K427" s="833">
        <f t="shared" si="86"/>
        <v>0</v>
      </c>
      <c r="L427" s="856"/>
    </row>
    <row r="428" spans="1:12" s="1203" customFormat="1" ht="15.75" hidden="1" thickBot="1">
      <c r="A428" s="1239"/>
      <c r="B428" s="2715" t="s">
        <v>223</v>
      </c>
      <c r="C428" s="2715"/>
      <c r="D428" s="1291"/>
      <c r="E428" s="1076">
        <v>0</v>
      </c>
      <c r="F428" s="1076">
        <v>0</v>
      </c>
      <c r="G428" s="1076">
        <v>0</v>
      </c>
      <c r="H428" s="1077"/>
      <c r="I428" s="1076"/>
      <c r="J428" s="1076">
        <f t="shared" si="85"/>
        <v>0</v>
      </c>
      <c r="K428" s="1077"/>
      <c r="L428" s="1178"/>
    </row>
    <row r="429" spans="1:12" s="1203" customFormat="1" ht="15.75" hidden="1" thickBot="1">
      <c r="A429" s="1239"/>
      <c r="B429" s="488">
        <v>90007</v>
      </c>
      <c r="C429" s="1279" t="s">
        <v>439</v>
      </c>
      <c r="D429" s="1280"/>
      <c r="E429" s="826">
        <f>SUM(E430,E432)</f>
        <v>50900</v>
      </c>
      <c r="F429" s="826">
        <f>SUM(F430,F432)</f>
        <v>50900</v>
      </c>
      <c r="G429" s="826">
        <f>SUM(G430,G432)</f>
        <v>0</v>
      </c>
      <c r="H429" s="827">
        <f t="shared" ref="H429:H431" si="96">G429/F429</f>
        <v>0</v>
      </c>
      <c r="I429" s="826"/>
      <c r="J429" s="826">
        <f t="shared" si="85"/>
        <v>0</v>
      </c>
      <c r="K429" s="827">
        <f t="shared" si="86"/>
        <v>0</v>
      </c>
      <c r="L429" s="841"/>
    </row>
    <row r="430" spans="1:12" s="1203" customFormat="1" ht="15.75" hidden="1" thickBot="1">
      <c r="A430" s="1239"/>
      <c r="B430" s="2718" t="s">
        <v>219</v>
      </c>
      <c r="C430" s="2718"/>
      <c r="D430" s="1316"/>
      <c r="E430" s="829">
        <f t="shared" ref="E430:G430" si="97">SUM(E431)</f>
        <v>50900</v>
      </c>
      <c r="F430" s="829">
        <f t="shared" si="97"/>
        <v>50900</v>
      </c>
      <c r="G430" s="829">
        <f t="shared" si="97"/>
        <v>0</v>
      </c>
      <c r="H430" s="830">
        <f t="shared" si="96"/>
        <v>0</v>
      </c>
      <c r="I430" s="829"/>
      <c r="J430" s="829">
        <f t="shared" si="85"/>
        <v>0</v>
      </c>
      <c r="K430" s="830">
        <f t="shared" si="86"/>
        <v>0</v>
      </c>
      <c r="L430" s="891"/>
    </row>
    <row r="431" spans="1:12" s="1203" customFormat="1" ht="26.25" hidden="1" thickBot="1">
      <c r="A431" s="1239"/>
      <c r="B431" s="1317"/>
      <c r="C431" s="1287" t="s">
        <v>240</v>
      </c>
      <c r="D431" s="1288" t="s">
        <v>438</v>
      </c>
      <c r="E431" s="832">
        <v>50900</v>
      </c>
      <c r="F431" s="832">
        <v>50900</v>
      </c>
      <c r="G431" s="832">
        <v>0</v>
      </c>
      <c r="H431" s="833">
        <f t="shared" si="96"/>
        <v>0</v>
      </c>
      <c r="I431" s="832"/>
      <c r="J431" s="832">
        <f t="shared" si="85"/>
        <v>0</v>
      </c>
      <c r="K431" s="833">
        <f t="shared" si="86"/>
        <v>0</v>
      </c>
      <c r="L431" s="856"/>
    </row>
    <row r="432" spans="1:12" s="1203" customFormat="1" ht="15.75" hidden="1" thickBot="1">
      <c r="A432" s="1239"/>
      <c r="B432" s="2715" t="s">
        <v>223</v>
      </c>
      <c r="C432" s="2715"/>
      <c r="D432" s="1291"/>
      <c r="E432" s="1076">
        <v>0</v>
      </c>
      <c r="F432" s="1076">
        <v>0</v>
      </c>
      <c r="G432" s="1076">
        <v>0</v>
      </c>
      <c r="H432" s="1077"/>
      <c r="I432" s="1076"/>
      <c r="J432" s="1076">
        <f t="shared" si="85"/>
        <v>0</v>
      </c>
      <c r="K432" s="1077"/>
      <c r="L432" s="1178"/>
    </row>
    <row r="433" spans="1:12" s="1204" customFormat="1" ht="26.25" thickBot="1">
      <c r="A433" s="2678"/>
      <c r="B433" s="488">
        <v>90019</v>
      </c>
      <c r="C433" s="1279" t="s">
        <v>440</v>
      </c>
      <c r="D433" s="1280"/>
      <c r="E433" s="826">
        <f t="shared" ref="E433:G433" si="98">SUM(E434,E436)</f>
        <v>350000</v>
      </c>
      <c r="F433" s="826">
        <f t="shared" si="98"/>
        <v>350000</v>
      </c>
      <c r="G433" s="826">
        <f t="shared" si="98"/>
        <v>350000</v>
      </c>
      <c r="H433" s="827">
        <f t="shared" si="91"/>
        <v>1</v>
      </c>
      <c r="I433" s="826"/>
      <c r="J433" s="826">
        <f t="shared" si="85"/>
        <v>350000</v>
      </c>
      <c r="K433" s="827">
        <f t="shared" si="86"/>
        <v>1</v>
      </c>
      <c r="L433" s="841"/>
    </row>
    <row r="434" spans="1:12" s="842" customFormat="1" ht="14.25" customHeight="1">
      <c r="A434" s="2678"/>
      <c r="B434" s="2718" t="s">
        <v>219</v>
      </c>
      <c r="C434" s="2718"/>
      <c r="D434" s="1316"/>
      <c r="E434" s="829">
        <f t="shared" ref="E434:G434" si="99">SUM(E435)</f>
        <v>350000</v>
      </c>
      <c r="F434" s="829">
        <f t="shared" si="99"/>
        <v>350000</v>
      </c>
      <c r="G434" s="829">
        <f t="shared" si="99"/>
        <v>350000</v>
      </c>
      <c r="H434" s="830">
        <f t="shared" si="91"/>
        <v>1</v>
      </c>
      <c r="I434" s="829"/>
      <c r="J434" s="829">
        <f t="shared" si="85"/>
        <v>350000</v>
      </c>
      <c r="K434" s="830">
        <f t="shared" si="86"/>
        <v>1</v>
      </c>
      <c r="L434" s="891"/>
    </row>
    <row r="435" spans="1:12" s="842" customFormat="1" ht="23.25" customHeight="1">
      <c r="A435" s="2678"/>
      <c r="B435" s="1317"/>
      <c r="C435" s="1287" t="s">
        <v>441</v>
      </c>
      <c r="D435" s="1288" t="s">
        <v>236</v>
      </c>
      <c r="E435" s="832">
        <v>350000</v>
      </c>
      <c r="F435" s="832">
        <v>350000</v>
      </c>
      <c r="G435" s="832">
        <v>350000</v>
      </c>
      <c r="H435" s="833">
        <f t="shared" si="91"/>
        <v>1</v>
      </c>
      <c r="I435" s="832"/>
      <c r="J435" s="832">
        <f t="shared" si="85"/>
        <v>350000</v>
      </c>
      <c r="K435" s="833">
        <f t="shared" si="86"/>
        <v>1</v>
      </c>
      <c r="L435" s="856"/>
    </row>
    <row r="436" spans="1:12" s="842" customFormat="1" ht="15.75" thickBot="1">
      <c r="A436" s="2678"/>
      <c r="B436" s="2715" t="s">
        <v>223</v>
      </c>
      <c r="C436" s="2715"/>
      <c r="D436" s="1291"/>
      <c r="E436" s="1076">
        <v>0</v>
      </c>
      <c r="F436" s="1076">
        <v>0</v>
      </c>
      <c r="G436" s="1076">
        <v>0</v>
      </c>
      <c r="H436" s="1077"/>
      <c r="I436" s="1076"/>
      <c r="J436" s="1076">
        <f t="shared" si="85"/>
        <v>0</v>
      </c>
      <c r="K436" s="1077"/>
      <c r="L436" s="1178"/>
    </row>
    <row r="437" spans="1:12" s="1204" customFormat="1" ht="26.25" thickBot="1">
      <c r="A437" s="2678"/>
      <c r="B437" s="488">
        <v>90020</v>
      </c>
      <c r="C437" s="1279" t="s">
        <v>442</v>
      </c>
      <c r="D437" s="1280"/>
      <c r="E437" s="826">
        <f>SUM(E438,E443)</f>
        <v>10600</v>
      </c>
      <c r="F437" s="826">
        <f>SUM(F438,F443)</f>
        <v>10600</v>
      </c>
      <c r="G437" s="826">
        <f>SUM(G438,G443)</f>
        <v>60600</v>
      </c>
      <c r="H437" s="827">
        <f t="shared" si="91"/>
        <v>5.716981132075472</v>
      </c>
      <c r="I437" s="826"/>
      <c r="J437" s="826">
        <f t="shared" si="85"/>
        <v>60600</v>
      </c>
      <c r="K437" s="827">
        <f t="shared" si="86"/>
        <v>5.716981132075472</v>
      </c>
      <c r="L437" s="841"/>
    </row>
    <row r="438" spans="1:12" s="842" customFormat="1">
      <c r="A438" s="2678"/>
      <c r="B438" s="2718" t="s">
        <v>219</v>
      </c>
      <c r="C438" s="2718"/>
      <c r="D438" s="1316"/>
      <c r="E438" s="829">
        <f>SUM(E439:E442)</f>
        <v>10600</v>
      </c>
      <c r="F438" s="829">
        <f>SUM(F439:F442)</f>
        <v>10600</v>
      </c>
      <c r="G438" s="829">
        <f>SUM(G439:G442)</f>
        <v>60600</v>
      </c>
      <c r="H438" s="830">
        <f t="shared" si="91"/>
        <v>5.716981132075472</v>
      </c>
      <c r="I438" s="829"/>
      <c r="J438" s="829">
        <f t="shared" si="85"/>
        <v>60600</v>
      </c>
      <c r="K438" s="830">
        <f t="shared" si="86"/>
        <v>5.716981132075472</v>
      </c>
      <c r="L438" s="891"/>
    </row>
    <row r="439" spans="1:12" s="842" customFormat="1">
      <c r="A439" s="2678"/>
      <c r="B439" s="2738"/>
      <c r="C439" s="1287" t="s">
        <v>1020</v>
      </c>
      <c r="D439" s="1319" t="s">
        <v>1021</v>
      </c>
      <c r="E439" s="832">
        <v>0</v>
      </c>
      <c r="F439" s="832">
        <v>0</v>
      </c>
      <c r="G439" s="832">
        <v>30000</v>
      </c>
      <c r="H439" s="833"/>
      <c r="I439" s="832"/>
      <c r="J439" s="832">
        <f t="shared" si="85"/>
        <v>30000</v>
      </c>
      <c r="K439" s="833"/>
      <c r="L439" s="856"/>
    </row>
    <row r="440" spans="1:12" s="842" customFormat="1" ht="25.5">
      <c r="A440" s="2678"/>
      <c r="B440" s="2739"/>
      <c r="C440" s="1287" t="s">
        <v>443</v>
      </c>
      <c r="D440" s="1319" t="s">
        <v>444</v>
      </c>
      <c r="E440" s="832">
        <v>10000</v>
      </c>
      <c r="F440" s="832">
        <v>10000</v>
      </c>
      <c r="G440" s="832">
        <v>30000</v>
      </c>
      <c r="H440" s="833">
        <f t="shared" ref="H440" si="100">G440/F440</f>
        <v>3</v>
      </c>
      <c r="I440" s="832"/>
      <c r="J440" s="832">
        <f t="shared" si="85"/>
        <v>30000</v>
      </c>
      <c r="K440" s="833">
        <f t="shared" si="86"/>
        <v>3</v>
      </c>
      <c r="L440" s="856"/>
    </row>
    <row r="441" spans="1:12" s="842" customFormat="1" ht="39.75" customHeight="1">
      <c r="A441" s="2678"/>
      <c r="B441" s="2739"/>
      <c r="C441" s="1320" t="s">
        <v>445</v>
      </c>
      <c r="D441" s="1321" t="s">
        <v>446</v>
      </c>
      <c r="E441" s="832">
        <v>500</v>
      </c>
      <c r="F441" s="832">
        <v>500</v>
      </c>
      <c r="G441" s="832">
        <v>500</v>
      </c>
      <c r="H441" s="833">
        <f t="shared" si="91"/>
        <v>1</v>
      </c>
      <c r="I441" s="832"/>
      <c r="J441" s="832">
        <f t="shared" si="85"/>
        <v>500</v>
      </c>
      <c r="K441" s="833">
        <f t="shared" si="86"/>
        <v>1</v>
      </c>
      <c r="L441" s="856"/>
    </row>
    <row r="442" spans="1:12" s="842" customFormat="1" ht="30" customHeight="1">
      <c r="A442" s="2678"/>
      <c r="B442" s="2740"/>
      <c r="C442" s="1320" t="s">
        <v>447</v>
      </c>
      <c r="D442" s="1321" t="s">
        <v>222</v>
      </c>
      <c r="E442" s="832">
        <v>100</v>
      </c>
      <c r="F442" s="832">
        <v>100</v>
      </c>
      <c r="G442" s="832">
        <v>100</v>
      </c>
      <c r="H442" s="833">
        <f t="shared" si="91"/>
        <v>1</v>
      </c>
      <c r="I442" s="832"/>
      <c r="J442" s="832">
        <f t="shared" si="85"/>
        <v>100</v>
      </c>
      <c r="K442" s="833">
        <f t="shared" si="86"/>
        <v>1</v>
      </c>
      <c r="L442" s="833"/>
    </row>
    <row r="443" spans="1:12" s="842" customFormat="1" ht="15.75" thickBot="1">
      <c r="A443" s="2678"/>
      <c r="B443" s="2736" t="s">
        <v>223</v>
      </c>
      <c r="C443" s="2736"/>
      <c r="D443" s="1322"/>
      <c r="E443" s="836">
        <v>0</v>
      </c>
      <c r="F443" s="836">
        <v>0</v>
      </c>
      <c r="G443" s="836">
        <v>0</v>
      </c>
      <c r="H443" s="837"/>
      <c r="I443" s="836"/>
      <c r="J443" s="836">
        <f t="shared" si="85"/>
        <v>0</v>
      </c>
      <c r="K443" s="837"/>
      <c r="L443" s="1071"/>
    </row>
    <row r="444" spans="1:12" s="842" customFormat="1" ht="26.25" thickBot="1">
      <c r="A444" s="2678"/>
      <c r="B444" s="491">
        <v>90024</v>
      </c>
      <c r="C444" s="1323" t="s">
        <v>448</v>
      </c>
      <c r="D444" s="1324"/>
      <c r="E444" s="826">
        <f t="shared" ref="E444:G444" si="101">SUM(E449,E445)</f>
        <v>1200</v>
      </c>
      <c r="F444" s="826">
        <f t="shared" si="101"/>
        <v>1200</v>
      </c>
      <c r="G444" s="826">
        <f t="shared" si="101"/>
        <v>1200</v>
      </c>
      <c r="H444" s="827">
        <f t="shared" si="91"/>
        <v>1</v>
      </c>
      <c r="I444" s="826"/>
      <c r="J444" s="826">
        <f t="shared" si="85"/>
        <v>1200</v>
      </c>
      <c r="K444" s="827">
        <f t="shared" si="86"/>
        <v>1</v>
      </c>
      <c r="L444" s="841"/>
    </row>
    <row r="445" spans="1:12" s="842" customFormat="1">
      <c r="A445" s="2678"/>
      <c r="B445" s="2733" t="s">
        <v>219</v>
      </c>
      <c r="C445" s="2733"/>
      <c r="D445" s="1281"/>
      <c r="E445" s="953">
        <f>SUM(E446:E448)</f>
        <v>1200</v>
      </c>
      <c r="F445" s="953">
        <f>SUM(F446:F448)</f>
        <v>1200</v>
      </c>
      <c r="G445" s="953">
        <f>SUM(G446:G448)</f>
        <v>1200</v>
      </c>
      <c r="H445" s="954">
        <f t="shared" si="91"/>
        <v>1</v>
      </c>
      <c r="I445" s="953"/>
      <c r="J445" s="953">
        <f t="shared" si="85"/>
        <v>1200</v>
      </c>
      <c r="K445" s="954">
        <f t="shared" si="86"/>
        <v>1</v>
      </c>
      <c r="L445" s="845"/>
    </row>
    <row r="446" spans="1:12" s="842" customFormat="1" ht="0.75" customHeight="1">
      <c r="A446" s="2678"/>
      <c r="B446" s="2738"/>
      <c r="C446" s="2741" t="s">
        <v>449</v>
      </c>
      <c r="D446" s="1288"/>
      <c r="E446" s="832"/>
      <c r="F446" s="832"/>
      <c r="G446" s="832"/>
      <c r="H446" s="833"/>
      <c r="I446" s="832"/>
      <c r="J446" s="832">
        <f t="shared" si="85"/>
        <v>0</v>
      </c>
      <c r="K446" s="833" t="e">
        <f t="shared" si="86"/>
        <v>#DIV/0!</v>
      </c>
      <c r="L446" s="856"/>
    </row>
    <row r="447" spans="1:12" s="842" customFormat="1" ht="15" customHeight="1">
      <c r="A447" s="2678"/>
      <c r="B447" s="2739"/>
      <c r="C447" s="2742"/>
      <c r="D447" s="1288" t="s">
        <v>236</v>
      </c>
      <c r="E447" s="832">
        <v>1000</v>
      </c>
      <c r="F447" s="832">
        <v>1000</v>
      </c>
      <c r="G447" s="832">
        <v>1000</v>
      </c>
      <c r="H447" s="833">
        <f t="shared" si="91"/>
        <v>1</v>
      </c>
      <c r="I447" s="832"/>
      <c r="J447" s="832">
        <f t="shared" si="85"/>
        <v>1000</v>
      </c>
      <c r="K447" s="833">
        <f t="shared" si="86"/>
        <v>1</v>
      </c>
      <c r="L447" s="856"/>
    </row>
    <row r="448" spans="1:12" s="842" customFormat="1" ht="15.75" customHeight="1">
      <c r="A448" s="2678"/>
      <c r="B448" s="2740"/>
      <c r="C448" s="2743"/>
      <c r="D448" s="1321" t="s">
        <v>222</v>
      </c>
      <c r="E448" s="832">
        <v>200</v>
      </c>
      <c r="F448" s="832">
        <v>200</v>
      </c>
      <c r="G448" s="832">
        <v>200</v>
      </c>
      <c r="H448" s="833">
        <f t="shared" si="91"/>
        <v>1</v>
      </c>
      <c r="I448" s="832"/>
      <c r="J448" s="832">
        <f t="shared" si="85"/>
        <v>200</v>
      </c>
      <c r="K448" s="833">
        <f t="shared" si="86"/>
        <v>1</v>
      </c>
      <c r="L448" s="856"/>
    </row>
    <row r="449" spans="1:12" s="842" customFormat="1" ht="15" customHeight="1">
      <c r="A449" s="2678"/>
      <c r="B449" s="2744" t="s">
        <v>223</v>
      </c>
      <c r="C449" s="2745"/>
      <c r="D449" s="1325"/>
      <c r="E449" s="875">
        <v>0</v>
      </c>
      <c r="F449" s="875">
        <v>0</v>
      </c>
      <c r="G449" s="875">
        <v>0</v>
      </c>
      <c r="H449" s="863"/>
      <c r="I449" s="875"/>
      <c r="J449" s="875">
        <f t="shared" si="85"/>
        <v>0</v>
      </c>
      <c r="K449" s="876"/>
      <c r="L449" s="863"/>
    </row>
    <row r="450" spans="1:12" s="824" customFormat="1" ht="15.75" thickBot="1">
      <c r="A450" s="2678"/>
      <c r="B450" s="1326">
        <v>90026</v>
      </c>
      <c r="C450" s="1323" t="s">
        <v>1022</v>
      </c>
      <c r="D450" s="1323"/>
      <c r="E450" s="877">
        <f>SUM(E453,E451)</f>
        <v>0</v>
      </c>
      <c r="F450" s="877">
        <f>SUM(F453,F451)</f>
        <v>182849</v>
      </c>
      <c r="G450" s="877">
        <f>SUM(G453,G451)</f>
        <v>50000</v>
      </c>
      <c r="H450" s="878">
        <f t="shared" ref="H450:H452" si="102">G450/F450</f>
        <v>0.27344967705593137</v>
      </c>
      <c r="I450" s="877"/>
      <c r="J450" s="877">
        <f t="shared" si="85"/>
        <v>50000</v>
      </c>
      <c r="K450" s="878">
        <f t="shared" si="86"/>
        <v>0.27344967705593137</v>
      </c>
      <c r="L450" s="878"/>
    </row>
    <row r="451" spans="1:12" s="824" customFormat="1">
      <c r="A451" s="2678"/>
      <c r="B451" s="2733" t="s">
        <v>219</v>
      </c>
      <c r="C451" s="2733"/>
      <c r="D451" s="493"/>
      <c r="E451" s="829">
        <f>SUM(E452:E452)</f>
        <v>0</v>
      </c>
      <c r="F451" s="829">
        <f>SUM(F452:F452)</f>
        <v>182849</v>
      </c>
      <c r="G451" s="829">
        <f>SUM(G452:G452)</f>
        <v>50000</v>
      </c>
      <c r="H451" s="830">
        <f t="shared" si="102"/>
        <v>0.27344967705593137</v>
      </c>
      <c r="I451" s="829"/>
      <c r="J451" s="829">
        <f t="shared" si="85"/>
        <v>50000</v>
      </c>
      <c r="K451" s="830">
        <f t="shared" si="86"/>
        <v>0.27344967705593137</v>
      </c>
      <c r="L451" s="830"/>
    </row>
    <row r="452" spans="1:12" s="824" customFormat="1" ht="38.25">
      <c r="A452" s="2678"/>
      <c r="B452" s="1327"/>
      <c r="C452" s="1328" t="s">
        <v>436</v>
      </c>
      <c r="D452" s="1288" t="s">
        <v>236</v>
      </c>
      <c r="E452" s="832">
        <v>0</v>
      </c>
      <c r="F452" s="832">
        <v>182849</v>
      </c>
      <c r="G452" s="832">
        <v>50000</v>
      </c>
      <c r="H452" s="833">
        <f t="shared" si="102"/>
        <v>0.27344967705593137</v>
      </c>
      <c r="I452" s="832"/>
      <c r="J452" s="832">
        <f t="shared" si="85"/>
        <v>50000</v>
      </c>
      <c r="K452" s="833">
        <f t="shared" si="86"/>
        <v>0.27344967705593137</v>
      </c>
      <c r="L452" s="833"/>
    </row>
    <row r="453" spans="1:12" s="824" customFormat="1" ht="15" customHeight="1" thickBot="1">
      <c r="A453" s="2678"/>
      <c r="B453" s="2715" t="s">
        <v>223</v>
      </c>
      <c r="C453" s="2715"/>
      <c r="D453" s="1291"/>
      <c r="E453" s="1076">
        <v>0</v>
      </c>
      <c r="F453" s="1076">
        <v>0</v>
      </c>
      <c r="G453" s="1076">
        <v>0</v>
      </c>
      <c r="H453" s="1077"/>
      <c r="I453" s="1076"/>
      <c r="J453" s="1076">
        <f t="shared" si="85"/>
        <v>0</v>
      </c>
      <c r="K453" s="1077"/>
      <c r="L453" s="1077"/>
    </row>
    <row r="454" spans="1:12" s="824" customFormat="1" ht="15.75" thickBot="1">
      <c r="A454" s="2678"/>
      <c r="B454" s="1278">
        <v>90095</v>
      </c>
      <c r="C454" s="1279" t="s">
        <v>239</v>
      </c>
      <c r="D454" s="1279"/>
      <c r="E454" s="826">
        <f>SUM(E457,E455)</f>
        <v>0</v>
      </c>
      <c r="F454" s="826">
        <f>SUM(F457,F455)</f>
        <v>90000</v>
      </c>
      <c r="G454" s="826">
        <f>SUM(G457,G455)</f>
        <v>45830</v>
      </c>
      <c r="H454" s="827">
        <f t="shared" ref="H454:H456" si="103">G454/F454</f>
        <v>0.50922222222222224</v>
      </c>
      <c r="I454" s="826"/>
      <c r="J454" s="826">
        <f t="shared" si="85"/>
        <v>45830</v>
      </c>
      <c r="K454" s="827">
        <f t="shared" si="86"/>
        <v>0.50922222222222224</v>
      </c>
      <c r="L454" s="827"/>
    </row>
    <row r="455" spans="1:12" s="824" customFormat="1">
      <c r="A455" s="2678"/>
      <c r="B455" s="2733" t="s">
        <v>219</v>
      </c>
      <c r="C455" s="2733"/>
      <c r="D455" s="493"/>
      <c r="E455" s="829">
        <f>SUM(E456:E456)</f>
        <v>0</v>
      </c>
      <c r="F455" s="829">
        <f>SUM(F456:F456)</f>
        <v>90000</v>
      </c>
      <c r="G455" s="829">
        <f>SUM(G456:G456)</f>
        <v>45830</v>
      </c>
      <c r="H455" s="830">
        <f t="shared" si="103"/>
        <v>0.50922222222222224</v>
      </c>
      <c r="I455" s="829"/>
      <c r="J455" s="829">
        <f t="shared" si="85"/>
        <v>45830</v>
      </c>
      <c r="K455" s="830">
        <f t="shared" si="86"/>
        <v>0.50922222222222224</v>
      </c>
      <c r="L455" s="830"/>
    </row>
    <row r="456" spans="1:12" s="824" customFormat="1" ht="30" customHeight="1">
      <c r="A456" s="2678"/>
      <c r="B456" s="1327"/>
      <c r="C456" s="1328" t="s">
        <v>240</v>
      </c>
      <c r="D456" s="1288" t="s">
        <v>438</v>
      </c>
      <c r="E456" s="832">
        <v>0</v>
      </c>
      <c r="F456" s="832">
        <v>90000</v>
      </c>
      <c r="G456" s="832">
        <v>45830</v>
      </c>
      <c r="H456" s="833">
        <f t="shared" si="103"/>
        <v>0.50922222222222224</v>
      </c>
      <c r="I456" s="832"/>
      <c r="J456" s="832">
        <f t="shared" si="85"/>
        <v>45830</v>
      </c>
      <c r="K456" s="833">
        <f t="shared" si="86"/>
        <v>0.50922222222222224</v>
      </c>
      <c r="L456" s="833"/>
    </row>
    <row r="457" spans="1:12" s="824" customFormat="1" ht="15" customHeight="1" thickBot="1">
      <c r="A457" s="2737"/>
      <c r="B457" s="2715" t="s">
        <v>223</v>
      </c>
      <c r="C457" s="2715"/>
      <c r="D457" s="1291"/>
      <c r="E457" s="1076">
        <v>0</v>
      </c>
      <c r="F457" s="1076">
        <v>0</v>
      </c>
      <c r="G457" s="1076">
        <v>0</v>
      </c>
      <c r="H457" s="1077"/>
      <c r="I457" s="1076"/>
      <c r="J457" s="1076">
        <f t="shared" si="85"/>
        <v>0</v>
      </c>
      <c r="K457" s="1077"/>
      <c r="L457" s="1077"/>
    </row>
    <row r="458" spans="1:12" s="1203" customFormat="1" ht="14.25" customHeight="1" thickBot="1">
      <c r="A458" s="1329">
        <v>921</v>
      </c>
      <c r="B458" s="525"/>
      <c r="C458" s="526" t="s">
        <v>17</v>
      </c>
      <c r="D458" s="527"/>
      <c r="E458" s="387">
        <f>SUM(E459,E463,E467,E471,E477,E485,E481)</f>
        <v>4046000</v>
      </c>
      <c r="F458" s="387">
        <f>SUM(F459,F463,F467,F471,F477,F485,F481)</f>
        <v>4956351</v>
      </c>
      <c r="G458" s="387">
        <f>SUM(G459,G463,G467,G471,G477,G485,G481)</f>
        <v>3993000</v>
      </c>
      <c r="H458" s="388">
        <f t="shared" si="91"/>
        <v>0.80563301509517793</v>
      </c>
      <c r="I458" s="387"/>
      <c r="J458" s="387">
        <f t="shared" si="85"/>
        <v>3993000</v>
      </c>
      <c r="K458" s="388">
        <f t="shared" si="86"/>
        <v>0.80563301509517793</v>
      </c>
      <c r="L458" s="1156"/>
    </row>
    <row r="459" spans="1:12" s="1203" customFormat="1" ht="14.25" hidden="1" customHeight="1" thickBot="1">
      <c r="A459" s="1330"/>
      <c r="B459" s="488">
        <v>92106</v>
      </c>
      <c r="C459" s="1279" t="s">
        <v>450</v>
      </c>
      <c r="D459" s="1280"/>
      <c r="E459" s="826">
        <f>E460+E462</f>
        <v>0</v>
      </c>
      <c r="F459" s="826">
        <f t="shared" ref="F459:G459" si="104">F460+F462</f>
        <v>50000</v>
      </c>
      <c r="G459" s="826">
        <f t="shared" si="104"/>
        <v>0</v>
      </c>
      <c r="H459" s="827">
        <f t="shared" si="91"/>
        <v>0</v>
      </c>
      <c r="I459" s="826"/>
      <c r="J459" s="826">
        <f t="shared" si="85"/>
        <v>0</v>
      </c>
      <c r="K459" s="827">
        <f t="shared" si="86"/>
        <v>0</v>
      </c>
      <c r="L459" s="827"/>
    </row>
    <row r="460" spans="1:12" s="1203" customFormat="1" ht="14.25" hidden="1" customHeight="1">
      <c r="A460" s="1330"/>
      <c r="B460" s="2710" t="s">
        <v>219</v>
      </c>
      <c r="C460" s="2734"/>
      <c r="D460" s="1281"/>
      <c r="E460" s="829">
        <f>E461</f>
        <v>0</v>
      </c>
      <c r="F460" s="829">
        <f t="shared" ref="F460:G460" si="105">F461</f>
        <v>50000</v>
      </c>
      <c r="G460" s="829">
        <f t="shared" si="105"/>
        <v>0</v>
      </c>
      <c r="H460" s="830">
        <f t="shared" si="91"/>
        <v>0</v>
      </c>
      <c r="I460" s="829"/>
      <c r="J460" s="829">
        <f t="shared" si="85"/>
        <v>0</v>
      </c>
      <c r="K460" s="830">
        <f t="shared" si="86"/>
        <v>0</v>
      </c>
      <c r="L460" s="830"/>
    </row>
    <row r="461" spans="1:12" s="1203" customFormat="1" ht="30.75" hidden="1" customHeight="1">
      <c r="A461" s="1330"/>
      <c r="B461" s="1331"/>
      <c r="C461" s="1318" t="s">
        <v>451</v>
      </c>
      <c r="D461" s="1288" t="s">
        <v>277</v>
      </c>
      <c r="E461" s="832">
        <v>0</v>
      </c>
      <c r="F461" s="832">
        <v>50000</v>
      </c>
      <c r="G461" s="832">
        <v>0</v>
      </c>
      <c r="H461" s="833">
        <f t="shared" si="91"/>
        <v>0</v>
      </c>
      <c r="I461" s="832"/>
      <c r="J461" s="832">
        <f t="shared" ref="J461:J495" si="106">G461+I461</f>
        <v>0</v>
      </c>
      <c r="K461" s="833">
        <f t="shared" ref="K461:K503" si="107">J461/F461</f>
        <v>0</v>
      </c>
      <c r="L461" s="833"/>
    </row>
    <row r="462" spans="1:12" s="1203" customFormat="1" ht="14.25" hidden="1" customHeight="1" thickBot="1">
      <c r="A462" s="1330"/>
      <c r="B462" s="2735" t="s">
        <v>223</v>
      </c>
      <c r="C462" s="2736"/>
      <c r="D462" s="1322"/>
      <c r="E462" s="836">
        <v>0</v>
      </c>
      <c r="F462" s="836">
        <v>0</v>
      </c>
      <c r="G462" s="836">
        <v>0</v>
      </c>
      <c r="H462" s="837"/>
      <c r="I462" s="836"/>
      <c r="J462" s="836">
        <f t="shared" si="106"/>
        <v>0</v>
      </c>
      <c r="K462" s="837"/>
      <c r="L462" s="1071"/>
    </row>
    <row r="463" spans="1:12" s="1203" customFormat="1" ht="14.25" hidden="1" customHeight="1" thickBot="1">
      <c r="A463" s="1330"/>
      <c r="B463" s="1278">
        <v>92108</v>
      </c>
      <c r="C463" s="1279" t="s">
        <v>452</v>
      </c>
      <c r="D463" s="1279"/>
      <c r="E463" s="898">
        <f>E464+E466</f>
        <v>0</v>
      </c>
      <c r="F463" s="898">
        <f t="shared" ref="F463:G463" si="108">F464+F466</f>
        <v>140000</v>
      </c>
      <c r="G463" s="898">
        <f t="shared" si="108"/>
        <v>0</v>
      </c>
      <c r="H463" s="899">
        <f t="shared" si="91"/>
        <v>0</v>
      </c>
      <c r="I463" s="898"/>
      <c r="J463" s="898">
        <f t="shared" si="106"/>
        <v>0</v>
      </c>
      <c r="K463" s="899">
        <f t="shared" si="107"/>
        <v>0</v>
      </c>
      <c r="L463" s="1058"/>
    </row>
    <row r="464" spans="1:12" s="1203" customFormat="1" ht="14.25" hidden="1" customHeight="1">
      <c r="A464" s="1330"/>
      <c r="B464" s="2723" t="s">
        <v>219</v>
      </c>
      <c r="C464" s="2723"/>
      <c r="D464" s="1332"/>
      <c r="E464" s="829">
        <f>E465</f>
        <v>0</v>
      </c>
      <c r="F464" s="829">
        <f t="shared" ref="F464:G464" si="109">F465</f>
        <v>140000</v>
      </c>
      <c r="G464" s="829">
        <f t="shared" si="109"/>
        <v>0</v>
      </c>
      <c r="H464" s="830">
        <f t="shared" si="91"/>
        <v>0</v>
      </c>
      <c r="I464" s="829"/>
      <c r="J464" s="829">
        <f t="shared" si="106"/>
        <v>0</v>
      </c>
      <c r="K464" s="830">
        <f t="shared" si="107"/>
        <v>0</v>
      </c>
      <c r="L464" s="891"/>
    </row>
    <row r="465" spans="1:12" s="1203" customFormat="1" ht="28.5" hidden="1" customHeight="1">
      <c r="A465" s="1330"/>
      <c r="B465" s="1333"/>
      <c r="C465" s="1334" t="s">
        <v>451</v>
      </c>
      <c r="D465" s="1319" t="s">
        <v>277</v>
      </c>
      <c r="E465" s="905">
        <v>0</v>
      </c>
      <c r="F465" s="905">
        <v>140000</v>
      </c>
      <c r="G465" s="905">
        <v>0</v>
      </c>
      <c r="H465" s="906">
        <f t="shared" si="91"/>
        <v>0</v>
      </c>
      <c r="I465" s="905"/>
      <c r="J465" s="905">
        <f t="shared" si="106"/>
        <v>0</v>
      </c>
      <c r="K465" s="906">
        <f t="shared" si="107"/>
        <v>0</v>
      </c>
      <c r="L465" s="959"/>
    </row>
    <row r="466" spans="1:12" s="1203" customFormat="1" ht="14.25" hidden="1" customHeight="1" thickBot="1">
      <c r="A466" s="1330"/>
      <c r="B466" s="2724" t="s">
        <v>223</v>
      </c>
      <c r="C466" s="2724"/>
      <c r="D466" s="1335"/>
      <c r="E466" s="836">
        <v>0</v>
      </c>
      <c r="F466" s="836">
        <v>0</v>
      </c>
      <c r="G466" s="836">
        <v>0</v>
      </c>
      <c r="H466" s="837"/>
      <c r="I466" s="836"/>
      <c r="J466" s="836">
        <f t="shared" si="106"/>
        <v>0</v>
      </c>
      <c r="K466" s="837"/>
      <c r="L466" s="837"/>
    </row>
    <row r="467" spans="1:12" s="1203" customFormat="1" ht="16.5" hidden="1" customHeight="1" thickBot="1">
      <c r="A467" s="1330"/>
      <c r="B467" s="1278">
        <v>92109</v>
      </c>
      <c r="C467" s="1279" t="s">
        <v>453</v>
      </c>
      <c r="D467" s="1279"/>
      <c r="E467" s="898">
        <f>E468+E469</f>
        <v>0</v>
      </c>
      <c r="F467" s="898">
        <f>F468+F469</f>
        <v>4698</v>
      </c>
      <c r="G467" s="898">
        <f>G468+G469</f>
        <v>0</v>
      </c>
      <c r="H467" s="899">
        <f t="shared" si="91"/>
        <v>0</v>
      </c>
      <c r="I467" s="898"/>
      <c r="J467" s="898">
        <f t="shared" si="106"/>
        <v>0</v>
      </c>
      <c r="K467" s="899">
        <f t="shared" si="107"/>
        <v>0</v>
      </c>
      <c r="L467" s="899"/>
    </row>
    <row r="468" spans="1:12" s="1203" customFormat="1" ht="16.5" hidden="1" customHeight="1">
      <c r="A468" s="1330"/>
      <c r="B468" s="2723" t="s">
        <v>400</v>
      </c>
      <c r="C468" s="2723"/>
      <c r="D468" s="1332"/>
      <c r="E468" s="829">
        <v>0</v>
      </c>
      <c r="F468" s="829">
        <v>0</v>
      </c>
      <c r="G468" s="829">
        <v>0</v>
      </c>
      <c r="H468" s="830"/>
      <c r="I468" s="829"/>
      <c r="J468" s="829">
        <f t="shared" si="106"/>
        <v>0</v>
      </c>
      <c r="K468" s="830"/>
      <c r="L468" s="830"/>
    </row>
    <row r="469" spans="1:12" s="1203" customFormat="1" ht="16.5" hidden="1" customHeight="1">
      <c r="A469" s="1330"/>
      <c r="B469" s="2725" t="s">
        <v>229</v>
      </c>
      <c r="C469" s="2725"/>
      <c r="D469" s="1336"/>
      <c r="E469" s="914">
        <f>E470</f>
        <v>0</v>
      </c>
      <c r="F469" s="914">
        <f t="shared" ref="F469:G469" si="110">F470</f>
        <v>4698</v>
      </c>
      <c r="G469" s="914">
        <f t="shared" si="110"/>
        <v>0</v>
      </c>
      <c r="H469" s="915">
        <f t="shared" si="91"/>
        <v>0</v>
      </c>
      <c r="I469" s="914"/>
      <c r="J469" s="914">
        <f t="shared" si="106"/>
        <v>0</v>
      </c>
      <c r="K469" s="915">
        <f t="shared" si="107"/>
        <v>0</v>
      </c>
      <c r="L469" s="915"/>
    </row>
    <row r="470" spans="1:12" s="1203" customFormat="1" ht="30" hidden="1" customHeight="1" thickBot="1">
      <c r="A470" s="1330"/>
      <c r="B470" s="1337"/>
      <c r="C470" s="1338" t="s">
        <v>454</v>
      </c>
      <c r="D470" s="1339" t="s">
        <v>532</v>
      </c>
      <c r="E470" s="1148">
        <v>0</v>
      </c>
      <c r="F470" s="1148">
        <v>4698</v>
      </c>
      <c r="G470" s="1148">
        <v>0</v>
      </c>
      <c r="H470" s="1340">
        <f t="shared" si="91"/>
        <v>0</v>
      </c>
      <c r="I470" s="1148"/>
      <c r="J470" s="1148">
        <f t="shared" si="106"/>
        <v>0</v>
      </c>
      <c r="K470" s="1340">
        <f t="shared" si="107"/>
        <v>0</v>
      </c>
      <c r="L470" s="1340"/>
    </row>
    <row r="471" spans="1:12" s="1204" customFormat="1" ht="15.75" thickBot="1">
      <c r="A471" s="2726"/>
      <c r="B471" s="488">
        <v>92116</v>
      </c>
      <c r="C471" s="1279" t="s">
        <v>456</v>
      </c>
      <c r="D471" s="1280"/>
      <c r="E471" s="826">
        <f>SUM(E472,E475)</f>
        <v>3913000</v>
      </c>
      <c r="F471" s="826">
        <f t="shared" ref="F471:G471" si="111">SUM(F472,F475)</f>
        <v>4181585</v>
      </c>
      <c r="G471" s="826">
        <f t="shared" si="111"/>
        <v>3843000</v>
      </c>
      <c r="H471" s="1341">
        <f t="shared" si="91"/>
        <v>0.91902950675401796</v>
      </c>
      <c r="I471" s="826"/>
      <c r="J471" s="826">
        <f t="shared" si="106"/>
        <v>3843000</v>
      </c>
      <c r="K471" s="827">
        <f t="shared" si="107"/>
        <v>0.91902950675401796</v>
      </c>
      <c r="L471" s="841"/>
    </row>
    <row r="472" spans="1:12" s="842" customFormat="1">
      <c r="A472" s="2726"/>
      <c r="B472" s="2728" t="s">
        <v>219</v>
      </c>
      <c r="C472" s="2729"/>
      <c r="D472" s="1342"/>
      <c r="E472" s="829">
        <f>SUM(E473:E474)</f>
        <v>3913000</v>
      </c>
      <c r="F472" s="829">
        <f>SUM(F473:F474)</f>
        <v>4136585</v>
      </c>
      <c r="G472" s="829">
        <f>SUM(G473:G474)</f>
        <v>3843000</v>
      </c>
      <c r="H472" s="830">
        <f t="shared" si="91"/>
        <v>0.92902720480783063</v>
      </c>
      <c r="I472" s="829"/>
      <c r="J472" s="829">
        <f t="shared" si="106"/>
        <v>3843000</v>
      </c>
      <c r="K472" s="830">
        <f t="shared" si="107"/>
        <v>0.92902720480783063</v>
      </c>
      <c r="L472" s="891"/>
    </row>
    <row r="473" spans="1:12" s="842" customFormat="1" ht="40.5" customHeight="1" thickBot="1">
      <c r="A473" s="2727"/>
      <c r="B473" s="2730"/>
      <c r="C473" s="1343" t="s">
        <v>457</v>
      </c>
      <c r="D473" s="1344">
        <v>2310</v>
      </c>
      <c r="E473" s="905">
        <v>3840000</v>
      </c>
      <c r="F473" s="905">
        <v>4058585</v>
      </c>
      <c r="G473" s="905">
        <v>3765000</v>
      </c>
      <c r="H473" s="906">
        <f t="shared" si="91"/>
        <v>0.92766321267141139</v>
      </c>
      <c r="I473" s="905"/>
      <c r="J473" s="905">
        <f t="shared" si="106"/>
        <v>3765000</v>
      </c>
      <c r="K473" s="906">
        <f t="shared" si="107"/>
        <v>0.92766321267141139</v>
      </c>
      <c r="L473" s="959"/>
    </row>
    <row r="474" spans="1:12" s="842" customFormat="1" ht="27" customHeight="1">
      <c r="A474" s="2727"/>
      <c r="B474" s="2731"/>
      <c r="C474" s="1345" t="s">
        <v>458</v>
      </c>
      <c r="D474" s="1346">
        <v>2320</v>
      </c>
      <c r="E474" s="832">
        <v>73000</v>
      </c>
      <c r="F474" s="832">
        <v>78000</v>
      </c>
      <c r="G474" s="832">
        <v>78000</v>
      </c>
      <c r="H474" s="833">
        <f t="shared" si="91"/>
        <v>1</v>
      </c>
      <c r="I474" s="832"/>
      <c r="J474" s="832">
        <f t="shared" si="106"/>
        <v>78000</v>
      </c>
      <c r="K474" s="833">
        <f t="shared" si="107"/>
        <v>1</v>
      </c>
      <c r="L474" s="856"/>
    </row>
    <row r="475" spans="1:12" s="421" customFormat="1" ht="15.75" thickBot="1">
      <c r="A475" s="2727"/>
      <c r="B475" s="2732" t="s">
        <v>223</v>
      </c>
      <c r="C475" s="2732"/>
      <c r="D475" s="1347"/>
      <c r="E475" s="431">
        <f>E476</f>
        <v>0</v>
      </c>
      <c r="F475" s="431">
        <f t="shared" ref="F475:G475" si="112">F476</f>
        <v>45000</v>
      </c>
      <c r="G475" s="431">
        <f t="shared" si="112"/>
        <v>0</v>
      </c>
      <c r="H475" s="1348">
        <f t="shared" si="91"/>
        <v>0</v>
      </c>
      <c r="I475" s="431"/>
      <c r="J475" s="431">
        <f t="shared" si="106"/>
        <v>0</v>
      </c>
      <c r="K475" s="432">
        <f t="shared" si="107"/>
        <v>0</v>
      </c>
      <c r="L475" s="431"/>
    </row>
    <row r="476" spans="1:12" s="842" customFormat="1" ht="39" hidden="1" thickBot="1">
      <c r="A476" s="1349"/>
      <c r="B476" s="1350"/>
      <c r="C476" s="1351" t="s">
        <v>1023</v>
      </c>
      <c r="D476" s="1352">
        <v>6610</v>
      </c>
      <c r="E476" s="1148">
        <v>0</v>
      </c>
      <c r="F476" s="1148">
        <v>45000</v>
      </c>
      <c r="G476" s="1148">
        <v>0</v>
      </c>
      <c r="H476" s="1340">
        <f t="shared" si="91"/>
        <v>0</v>
      </c>
      <c r="I476" s="1148"/>
      <c r="J476" s="1148">
        <f t="shared" si="106"/>
        <v>0</v>
      </c>
      <c r="K476" s="1340">
        <f t="shared" si="107"/>
        <v>0</v>
      </c>
      <c r="L476" s="1353"/>
    </row>
    <row r="477" spans="1:12" s="842" customFormat="1" ht="15.75" hidden="1" thickBot="1">
      <c r="A477" s="1330"/>
      <c r="B477" s="1278">
        <v>92118</v>
      </c>
      <c r="C477" s="1279" t="s">
        <v>459</v>
      </c>
      <c r="D477" s="1324"/>
      <c r="E477" s="898">
        <f>E478+E479</f>
        <v>0</v>
      </c>
      <c r="F477" s="877">
        <f>F478+F479</f>
        <v>417068</v>
      </c>
      <c r="G477" s="898">
        <f>G478+G479</f>
        <v>0</v>
      </c>
      <c r="H477" s="899">
        <f t="shared" si="91"/>
        <v>0</v>
      </c>
      <c r="I477" s="898"/>
      <c r="J477" s="898">
        <f t="shared" si="106"/>
        <v>0</v>
      </c>
      <c r="K477" s="899">
        <f t="shared" si="107"/>
        <v>0</v>
      </c>
      <c r="L477" s="1058"/>
    </row>
    <row r="478" spans="1:12" s="842" customFormat="1" ht="15.75" hidden="1" thickBot="1">
      <c r="A478" s="1330"/>
      <c r="B478" s="2710" t="s">
        <v>400</v>
      </c>
      <c r="C478" s="2734"/>
      <c r="D478" s="1281"/>
      <c r="E478" s="829">
        <v>0</v>
      </c>
      <c r="F478" s="829">
        <v>0</v>
      </c>
      <c r="G478" s="829">
        <v>0</v>
      </c>
      <c r="H478" s="830"/>
      <c r="I478" s="829"/>
      <c r="J478" s="829">
        <f t="shared" si="106"/>
        <v>0</v>
      </c>
      <c r="K478" s="830"/>
      <c r="L478" s="891"/>
    </row>
    <row r="479" spans="1:12" s="842" customFormat="1" ht="15.75" hidden="1" thickBot="1">
      <c r="A479" s="1330"/>
      <c r="B479" s="2714" t="s">
        <v>229</v>
      </c>
      <c r="C479" s="2715"/>
      <c r="D479" s="1291"/>
      <c r="E479" s="914">
        <f>E480</f>
        <v>0</v>
      </c>
      <c r="F479" s="914">
        <f t="shared" ref="F479:G479" si="113">F480</f>
        <v>417068</v>
      </c>
      <c r="G479" s="914">
        <f t="shared" si="113"/>
        <v>0</v>
      </c>
      <c r="H479" s="915">
        <f t="shared" si="91"/>
        <v>0</v>
      </c>
      <c r="I479" s="914"/>
      <c r="J479" s="914">
        <f t="shared" si="106"/>
        <v>0</v>
      </c>
      <c r="K479" s="915">
        <f t="shared" si="107"/>
        <v>0</v>
      </c>
      <c r="L479" s="897"/>
    </row>
    <row r="480" spans="1:12" s="842" customFormat="1" ht="26.25" hidden="1" thickBot="1">
      <c r="A480" s="1330"/>
      <c r="B480" s="1354"/>
      <c r="C480" s="1355" t="s">
        <v>454</v>
      </c>
      <c r="D480" s="1356" t="s">
        <v>455</v>
      </c>
      <c r="E480" s="1148">
        <v>0</v>
      </c>
      <c r="F480" s="1148">
        <v>417068</v>
      </c>
      <c r="G480" s="1148">
        <v>0</v>
      </c>
      <c r="H480" s="1340">
        <f t="shared" si="91"/>
        <v>0</v>
      </c>
      <c r="I480" s="1148"/>
      <c r="J480" s="1148">
        <f t="shared" si="106"/>
        <v>0</v>
      </c>
      <c r="K480" s="1340">
        <f t="shared" si="107"/>
        <v>0</v>
      </c>
      <c r="L480" s="1192"/>
    </row>
    <row r="481" spans="1:12" s="842" customFormat="1" ht="15.75" hidden="1" thickBot="1">
      <c r="A481" s="1330"/>
      <c r="B481" s="491">
        <v>92120</v>
      </c>
      <c r="C481" s="1323" t="s">
        <v>903</v>
      </c>
      <c r="D481" s="1324"/>
      <c r="E481" s="877">
        <f>E482+E484</f>
        <v>0</v>
      </c>
      <c r="F481" s="877">
        <f>F482+F484</f>
        <v>30000</v>
      </c>
      <c r="G481" s="877">
        <f>G482+G484</f>
        <v>0</v>
      </c>
      <c r="H481" s="899">
        <f t="shared" si="91"/>
        <v>0</v>
      </c>
      <c r="I481" s="877"/>
      <c r="J481" s="877">
        <f t="shared" si="106"/>
        <v>0</v>
      </c>
      <c r="K481" s="878">
        <f t="shared" si="107"/>
        <v>0</v>
      </c>
      <c r="L481" s="888"/>
    </row>
    <row r="482" spans="1:12" s="842" customFormat="1" ht="15" hidden="1" customHeight="1">
      <c r="A482" s="1330"/>
      <c r="B482" s="2728" t="s">
        <v>219</v>
      </c>
      <c r="C482" s="2729"/>
      <c r="D482" s="1342"/>
      <c r="E482" s="829">
        <f>E483</f>
        <v>0</v>
      </c>
      <c r="F482" s="829">
        <f t="shared" ref="F482:G482" si="114">F483</f>
        <v>30000</v>
      </c>
      <c r="G482" s="394">
        <f t="shared" si="114"/>
        <v>0</v>
      </c>
      <c r="H482" s="1162">
        <f t="shared" ref="H482:H483" si="115">G482/F482</f>
        <v>0</v>
      </c>
      <c r="I482" s="394"/>
      <c r="J482" s="394">
        <f t="shared" si="106"/>
        <v>0</v>
      </c>
      <c r="K482" s="395">
        <f t="shared" si="107"/>
        <v>0</v>
      </c>
      <c r="L482" s="395"/>
    </row>
    <row r="483" spans="1:12" s="1362" customFormat="1" ht="29.25" hidden="1" customHeight="1">
      <c r="A483" s="1349"/>
      <c r="B483" s="1357"/>
      <c r="C483" s="1358" t="s">
        <v>408</v>
      </c>
      <c r="D483" s="1359">
        <v>2230</v>
      </c>
      <c r="E483" s="832">
        <v>0</v>
      </c>
      <c r="F483" s="832">
        <v>30000</v>
      </c>
      <c r="G483" s="939">
        <v>0</v>
      </c>
      <c r="H483" s="1360">
        <f t="shared" si="115"/>
        <v>0</v>
      </c>
      <c r="I483" s="939"/>
      <c r="J483" s="939">
        <f t="shared" si="106"/>
        <v>0</v>
      </c>
      <c r="K483" s="940">
        <f t="shared" si="107"/>
        <v>0</v>
      </c>
      <c r="L483" s="1361"/>
    </row>
    <row r="484" spans="1:12" s="842" customFormat="1" ht="15" hidden="1" customHeight="1" thickBot="1">
      <c r="A484" s="1330"/>
      <c r="B484" s="2758" t="s">
        <v>223</v>
      </c>
      <c r="C484" s="2733"/>
      <c r="D484" s="493"/>
      <c r="E484" s="1076">
        <v>0</v>
      </c>
      <c r="F484" s="1076">
        <v>0</v>
      </c>
      <c r="G484" s="431">
        <v>0</v>
      </c>
      <c r="H484" s="430"/>
      <c r="I484" s="431"/>
      <c r="J484" s="431">
        <f t="shared" si="106"/>
        <v>0</v>
      </c>
      <c r="K484" s="432"/>
      <c r="L484" s="432"/>
    </row>
    <row r="485" spans="1:12" s="1204" customFormat="1" ht="15.75" thickBot="1">
      <c r="A485" s="2726"/>
      <c r="B485" s="494">
        <v>92195</v>
      </c>
      <c r="C485" s="489" t="s">
        <v>239</v>
      </c>
      <c r="D485" s="1261"/>
      <c r="E485" s="392">
        <f>E486+E488</f>
        <v>133000</v>
      </c>
      <c r="F485" s="392">
        <f t="shared" ref="F485:G485" si="116">F486+F488</f>
        <v>133000</v>
      </c>
      <c r="G485" s="392">
        <f t="shared" si="116"/>
        <v>150000</v>
      </c>
      <c r="H485" s="1363">
        <f t="shared" ref="H485:H503" si="117">G485/F485</f>
        <v>1.1278195488721805</v>
      </c>
      <c r="I485" s="392"/>
      <c r="J485" s="392">
        <f t="shared" si="106"/>
        <v>150000</v>
      </c>
      <c r="K485" s="393">
        <f t="shared" si="107"/>
        <v>1.1278195488721805</v>
      </c>
      <c r="L485" s="393"/>
    </row>
    <row r="486" spans="1:12" s="842" customFormat="1">
      <c r="A486" s="2726"/>
      <c r="B486" s="2759" t="s">
        <v>219</v>
      </c>
      <c r="C486" s="2760"/>
      <c r="D486" s="1364"/>
      <c r="E486" s="394">
        <f>E487</f>
        <v>133000</v>
      </c>
      <c r="F486" s="394">
        <f t="shared" ref="F486:G486" si="118">F487</f>
        <v>133000</v>
      </c>
      <c r="G486" s="394">
        <f t="shared" si="118"/>
        <v>150000</v>
      </c>
      <c r="H486" s="395">
        <f t="shared" si="117"/>
        <v>1.1278195488721805</v>
      </c>
      <c r="I486" s="394"/>
      <c r="J486" s="394">
        <f t="shared" si="106"/>
        <v>150000</v>
      </c>
      <c r="K486" s="395">
        <f t="shared" si="107"/>
        <v>1.1278195488721805</v>
      </c>
      <c r="L486" s="395"/>
    </row>
    <row r="487" spans="1:12" s="842" customFormat="1" ht="53.25" customHeight="1">
      <c r="A487" s="2726"/>
      <c r="B487" s="1365"/>
      <c r="C487" s="1159" t="s">
        <v>460</v>
      </c>
      <c r="D487" s="1177" t="s">
        <v>311</v>
      </c>
      <c r="E487" s="939">
        <v>133000</v>
      </c>
      <c r="F487" s="939">
        <v>133000</v>
      </c>
      <c r="G487" s="939">
        <v>150000</v>
      </c>
      <c r="H487" s="940">
        <f t="shared" si="117"/>
        <v>1.1278195488721805</v>
      </c>
      <c r="I487" s="939"/>
      <c r="J487" s="939">
        <f t="shared" si="106"/>
        <v>150000</v>
      </c>
      <c r="K487" s="940">
        <f t="shared" si="107"/>
        <v>1.1278195488721805</v>
      </c>
      <c r="L487" s="940"/>
    </row>
    <row r="488" spans="1:12" s="842" customFormat="1" ht="15.75" thickBot="1">
      <c r="A488" s="2726"/>
      <c r="B488" s="2696" t="s">
        <v>223</v>
      </c>
      <c r="C488" s="2672"/>
      <c r="D488" s="1236"/>
      <c r="E488" s="1114">
        <v>0</v>
      </c>
      <c r="F488" s="1114">
        <v>0</v>
      </c>
      <c r="G488" s="1114">
        <v>0</v>
      </c>
      <c r="H488" s="1170"/>
      <c r="I488" s="1114"/>
      <c r="J488" s="1114">
        <f t="shared" si="106"/>
        <v>0</v>
      </c>
      <c r="K488" s="1115"/>
      <c r="L488" s="1115"/>
    </row>
    <row r="489" spans="1:12" s="1315" customFormat="1" ht="30" customHeight="1" thickBot="1">
      <c r="A489" s="485">
        <v>925</v>
      </c>
      <c r="B489" s="1366"/>
      <c r="C489" s="1367" t="s">
        <v>461</v>
      </c>
      <c r="D489" s="1368"/>
      <c r="E489" s="916">
        <f>SUM(E490)</f>
        <v>730000</v>
      </c>
      <c r="F489" s="916">
        <f>SUM(F490)</f>
        <v>759840</v>
      </c>
      <c r="G489" s="916">
        <f>SUM(G490)</f>
        <v>600000</v>
      </c>
      <c r="H489" s="917">
        <f t="shared" si="117"/>
        <v>0.7896399241945673</v>
      </c>
      <c r="I489" s="916"/>
      <c r="J489" s="916">
        <f t="shared" si="106"/>
        <v>600000</v>
      </c>
      <c r="K489" s="917">
        <f t="shared" si="107"/>
        <v>0.7896399241945673</v>
      </c>
      <c r="L489" s="917"/>
    </row>
    <row r="490" spans="1:12" s="1204" customFormat="1" ht="19.5" customHeight="1" thickBot="1">
      <c r="A490" s="2749"/>
      <c r="B490" s="1369">
        <v>92502</v>
      </c>
      <c r="C490" s="1370" t="s">
        <v>462</v>
      </c>
      <c r="D490" s="1371"/>
      <c r="E490" s="826">
        <f>SUM(E495,E491)</f>
        <v>730000</v>
      </c>
      <c r="F490" s="826">
        <f t="shared" ref="F490:G490" si="119">SUM(F495,F491)</f>
        <v>759840</v>
      </c>
      <c r="G490" s="826">
        <f t="shared" si="119"/>
        <v>600000</v>
      </c>
      <c r="H490" s="827">
        <f t="shared" si="117"/>
        <v>0.7896399241945673</v>
      </c>
      <c r="I490" s="826"/>
      <c r="J490" s="826">
        <f t="shared" si="106"/>
        <v>600000</v>
      </c>
      <c r="K490" s="827">
        <f t="shared" si="107"/>
        <v>0.7896399241945673</v>
      </c>
      <c r="L490" s="841"/>
    </row>
    <row r="491" spans="1:12" s="842" customFormat="1" ht="13.5" customHeight="1">
      <c r="A491" s="2693"/>
      <c r="B491" s="2734" t="s">
        <v>219</v>
      </c>
      <c r="C491" s="2729"/>
      <c r="D491" s="1342"/>
      <c r="E491" s="829">
        <f>SUM(E492:E494)</f>
        <v>730000</v>
      </c>
      <c r="F491" s="829">
        <f t="shared" ref="F491:G491" si="120">SUM(F492:F494)</f>
        <v>759840</v>
      </c>
      <c r="G491" s="829">
        <f t="shared" si="120"/>
        <v>600000</v>
      </c>
      <c r="H491" s="830">
        <f t="shared" si="117"/>
        <v>0.7896399241945673</v>
      </c>
      <c r="I491" s="829"/>
      <c r="J491" s="829">
        <f t="shared" si="106"/>
        <v>600000</v>
      </c>
      <c r="K491" s="830">
        <f t="shared" si="107"/>
        <v>0.7896399241945673</v>
      </c>
      <c r="L491" s="891"/>
    </row>
    <row r="492" spans="1:12" s="842" customFormat="1" ht="1.5" hidden="1" customHeight="1">
      <c r="A492" s="2693"/>
      <c r="B492" s="2750"/>
      <c r="C492" s="1190" t="s">
        <v>463</v>
      </c>
      <c r="D492" s="1372"/>
      <c r="E492" s="1142"/>
      <c r="F492" s="1142"/>
      <c r="G492" s="1111"/>
      <c r="H492" s="977"/>
      <c r="I492" s="1111"/>
      <c r="J492" s="1111">
        <f t="shared" si="106"/>
        <v>0</v>
      </c>
      <c r="K492" s="977" t="e">
        <f t="shared" si="107"/>
        <v>#DIV/0!</v>
      </c>
      <c r="L492" s="977"/>
    </row>
    <row r="493" spans="1:12" s="842" customFormat="1" ht="30.75" customHeight="1">
      <c r="A493" s="2693"/>
      <c r="B493" s="2751"/>
      <c r="C493" s="1373" t="s">
        <v>408</v>
      </c>
      <c r="D493" s="1374">
        <v>2230</v>
      </c>
      <c r="E493" s="971">
        <v>730000</v>
      </c>
      <c r="F493" s="971">
        <v>730000</v>
      </c>
      <c r="G493" s="832">
        <v>600000</v>
      </c>
      <c r="H493" s="972">
        <f t="shared" si="117"/>
        <v>0.82191780821917804</v>
      </c>
      <c r="I493" s="832"/>
      <c r="J493" s="832">
        <f t="shared" si="106"/>
        <v>600000</v>
      </c>
      <c r="K493" s="833">
        <f t="shared" si="107"/>
        <v>0.82191780821917804</v>
      </c>
      <c r="L493" s="1375" t="s">
        <v>971</v>
      </c>
    </row>
    <row r="494" spans="1:12" s="842" customFormat="1" ht="30.75" hidden="1" customHeight="1">
      <c r="A494" s="2693"/>
      <c r="B494" s="2752"/>
      <c r="C494" s="1376" t="s">
        <v>240</v>
      </c>
      <c r="D494" s="1377">
        <v>2460</v>
      </c>
      <c r="E494" s="832">
        <v>0</v>
      </c>
      <c r="F494" s="832">
        <v>29840</v>
      </c>
      <c r="G494" s="832">
        <v>0</v>
      </c>
      <c r="H494" s="833">
        <f>G494/F494</f>
        <v>0</v>
      </c>
      <c r="I494" s="832"/>
      <c r="J494" s="832">
        <f t="shared" si="106"/>
        <v>0</v>
      </c>
      <c r="K494" s="833">
        <f t="shared" si="107"/>
        <v>0</v>
      </c>
      <c r="L494" s="833"/>
    </row>
    <row r="495" spans="1:12" s="824" customFormat="1" ht="15.75" thickBot="1">
      <c r="A495" s="2693"/>
      <c r="B495" s="2736" t="s">
        <v>223</v>
      </c>
      <c r="C495" s="2753"/>
      <c r="D495" s="1378"/>
      <c r="E495" s="1379">
        <v>0</v>
      </c>
      <c r="F495" s="1379">
        <v>0</v>
      </c>
      <c r="G495" s="1379">
        <v>0</v>
      </c>
      <c r="H495" s="1380"/>
      <c r="I495" s="1379"/>
      <c r="J495" s="1379">
        <f t="shared" si="106"/>
        <v>0</v>
      </c>
      <c r="K495" s="1380"/>
      <c r="L495" s="1380"/>
    </row>
    <row r="496" spans="1:12" s="842" customFormat="1" ht="21.75" customHeight="1" thickBot="1">
      <c r="A496" s="2754" t="s">
        <v>16</v>
      </c>
      <c r="B496" s="2755"/>
      <c r="C496" s="2755"/>
      <c r="D496" s="1381"/>
      <c r="E496" s="1382">
        <f>E10+E43+E49+E62+E119+E129+E147+E153+E160+E231+E244+E291+E334+E353+E376+E403+E420+E458+E489+E110+E54+E329+E226</f>
        <v>1237408088</v>
      </c>
      <c r="F496" s="529">
        <f>F10+F43+F49+F62+F119+F129+F147+F153+F160+F231+F244+F291+F334+F353+F376+F403+F420+F458+F489+F110+F54+F329+F226</f>
        <v>1257427873</v>
      </c>
      <c r="G496" s="1383">
        <f>G10+G43+G49+G62+G119+G129+G147+G153+G160+G231+G244+G291+G334+G353+G376+G403+G420+G458+G489+G110+G54+G329+G226</f>
        <v>1131009211</v>
      </c>
      <c r="H496" s="530">
        <f>G496/F496</f>
        <v>0.89946249425950175</v>
      </c>
      <c r="I496" s="1383">
        <f>I10+I43+I49+I62+I119+I129+I147+I153+I160+I231+I244+I291+I334+I353+I376+I403+I420+I458+I489+I110+I54+I329+I226</f>
        <v>25325152</v>
      </c>
      <c r="J496" s="529">
        <f>G496+I496</f>
        <v>1156334363</v>
      </c>
      <c r="K496" s="530">
        <f t="shared" si="107"/>
        <v>0.91960293534864246</v>
      </c>
      <c r="L496" s="1384"/>
    </row>
    <row r="497" spans="1:14" s="842" customFormat="1" ht="15" customHeight="1">
      <c r="A497" s="2756" t="s">
        <v>2</v>
      </c>
      <c r="B497" s="2757"/>
      <c r="C497" s="2757"/>
      <c r="D497" s="1385"/>
      <c r="E497" s="1386"/>
      <c r="F497" s="1387"/>
      <c r="G497" s="1386"/>
      <c r="H497" s="1387"/>
      <c r="I497" s="1387"/>
      <c r="J497" s="1388"/>
      <c r="K497" s="1389"/>
      <c r="L497" s="1390"/>
    </row>
    <row r="498" spans="1:14" s="842" customFormat="1" ht="15" customHeight="1">
      <c r="A498" s="2746" t="s">
        <v>464</v>
      </c>
      <c r="B498" s="2747"/>
      <c r="C498" s="2748"/>
      <c r="D498" s="1391"/>
      <c r="E498" s="1392">
        <f>E12+E26+E31+E39+E45+E51+E56+E64+E74+E79+E85+E89+E105+E112+E116+E121+E131+E137+E141+E149+E155+E162+E167+E175+E180+E190+E195+E199+E228+E233+E240+E246+E250+E255+E259+E263+E267+E280+E293+E297+E301+E306+E317+E323+E336+E341+E346+E350+E355+E359+E365+E378+E384+E393+E405+E411+E415+E422+E426+E430+E434+E438+E445+E451+E455+E460+E464+E468+E472+E478+E482+E486+E491</f>
        <v>813035173</v>
      </c>
      <c r="F498" s="1393">
        <f>F12+F26+F31+F39+F45+F51+F56+F64+F74+F79+F85+F89+F105+F112+F116+F121+F131+F137+F141+F149+F155+F162+F167+F175+F180+F190+F195+F199+F228+F233+F240+F246+F250+F255+F259+F263+F267+F280+F293+F297+F301+F306+F317+F323+F336+F341+F346+F350+F355+F359+F365+F378+F384+F393+F405+F411+F415+F422+F426+F430+F434+F438+F445+F451+F455+F460+F464+F468+F472+F478+F482+F486+F491</f>
        <v>836632996</v>
      </c>
      <c r="G498" s="1392">
        <f>G12+G26+G31+G39+G45+G51+G56+G64+G74+G79+G85+G89+G105+G112+G116+G121+G131+G137+G141+G149+G155+G162+G167+G175+G180+G190+G195+G199+G228+G233+G240+G246+G250+G255+G259+G263+G267+G280+G293+G297+G301+G306+G317+G323+G336+G341+G346+G350+G355+G359+G365+G378+G384+G393+G405+G411+G415+G422+G426+G430+G434+G438+G445+G451+G455+G460+G464+G468+G472+G478+G482+G486+G491</f>
        <v>834543499</v>
      </c>
      <c r="H498" s="1394">
        <f t="shared" si="117"/>
        <v>0.99750249271784641</v>
      </c>
      <c r="I498" s="1392">
        <f>I12+I26+I31+I39+I45+I51+I56+I64+I74+I79+I85+I89+I105+I112+I116+I121+I131+I137+I141+I149+I155+I162+I167+I175+I180+I190+I195+I199+I228+I233+I240+I246+I250+I255+I259+I263+I267+I280+I293+I297+I301+I306+I317+I323+I336+I341+I346+I350+I355+I359+I365+I378+I384+I393+I405+I411+I415+I422+I426+I430+I434+I438+I445+I451+I455+I460+I464+I468+I472+I478+I482+I486+I491</f>
        <v>-550256</v>
      </c>
      <c r="J498" s="1395">
        <f>J12+J26+J31+J39+J45+J51+J56+J64+J74+J79+J85+J89+J105+J112+J116+J121+J131+J137+J141+J149+J155+J162+J167+J175+J180+J190+J195+J199+J228+J233+J240+J246+J250+J255+J259+J263+J267+J280+J293+J297+J301+J306+J317+J323+J336+J341+J346+J350+J355+J359+J365+J378+J384+J393+J405+J411+J415+J422+J426+J430+J434+J438+J445+J451+J455+J460+J464+J468+J472+J478+J482+J486+J491</f>
        <v>833993243</v>
      </c>
      <c r="K498" s="1394">
        <f t="shared" si="107"/>
        <v>0.99684478975533974</v>
      </c>
      <c r="L498" s="1396"/>
    </row>
    <row r="499" spans="1:14" s="842" customFormat="1" ht="15" hidden="1" customHeight="1">
      <c r="A499" s="1397" t="s">
        <v>1024</v>
      </c>
      <c r="B499" s="1398"/>
      <c r="C499" s="1399"/>
      <c r="D499" s="1400"/>
      <c r="E499" s="1395">
        <f>E27+E28+E40+E41+E46+E47+E67+E68+E81+E92+E93+E94+E95+E107+E117+E144+E145+E163+E172+E176+E191+E196+E200+E201+E202+E203+E204+E205+E206+E207+E208+E209+E210+E211+E213++E215+E219+E229+E268+E269+E271+E281+E282+E283+E284+E285+E298+E307+E309+E312+E314+E324+E347+E351+E356+E366+E367+E368+E370+E386+E387+E388+E389+E394+E395+E406+E407+E408+E412+E416+E427+E431+E456+E461+E465+E473+E474+E483+E493+E494+E308+E310+E311+E313+E217</f>
        <v>244597360</v>
      </c>
      <c r="F499" s="1395">
        <f>F27+F28+F40+F41+F46+F47+F67+F68+F81+F92+F93+F94+F95+F107+F117+F144+F145+F163+F172+F176+F191+F196+F200+F201+F202+F203+F204+F205+F206+F207+F208+F209+F210+F211+F213++F215+F219+F229+F268+F269+F271+F281+F282+F283+F284+F285+F298+F307+F309+F312+F314+F324+F347+F351+F356+F366+F367+F368+F370+F386+F387+F388+F389+F394+F395+F406+F407+F408+F412+F416+F427+F431+F456+F461+F465+F473+F474+F483+F493+F494+F308+F310+F311+F313+F217</f>
        <v>265767971</v>
      </c>
      <c r="G499" s="1395">
        <f>G27+G28+G40+G41+G46+G47+G67+G68+G81+G92+G93+G94+G95+G107+G117+G144+G145+G163+G172+G176+G191+G196+G200+G201+G202+G203+G204+G205+G206+G207+G208+G209+G210+G211+G213++G215+G219+G229+G268+G269+G271+G281+G282+G283+G284+G285+G298+G307+G309+G312+G314+G324+G347+G351+G356+G366+G367+G368+G370+G386+G387+G388+G389+G394+G395+G406+G407+G408+G412+G416+G427+G431+G456+G461+G465+G473+G474+G483+G493+G494+G308+G310+G311+G313+G217</f>
        <v>214434502</v>
      </c>
      <c r="H499" s="1401">
        <f t="shared" si="117"/>
        <v>0.80684854985780063</v>
      </c>
      <c r="I499" s="1395">
        <f>I27+I28+I40+I41+I46+I47+I67+I68+I81+I92+I93+I94+I95+I107+I117+I144+I145+I163+I172+I176+I191+I196+I200+I201+I202+I203+I204+I205+I206+I207+I208+I209+I210+I211+I213++I215+I219+I229+I268+I269+I271+I281+I282+I283+I284+I285+I298+I307+I309+I312+I314+I324+I347+I351+I356+I366+I367+I368+I370+I386+I387+I388+I389+I394+I395+I406+I407+I408+I412+I416+I427+I431+I456+I461+I465+I473+I474+I483+I493+I494+I308+I310+I311+I313+I217</f>
        <v>612951</v>
      </c>
      <c r="J499" s="1395">
        <f>J27+J28+J40+J41+J46+J47+J67+J68+J81+J92+J93+J94+J95+J107+J117+J144+J145+J163+J172+J176+J191+J196+J200+J201+J202+J203+J204+J205+J206+J207+J208+J209+J210+J211+J213++J215+J219+J229+J268+J269+J271+J281+J282+J283+J284+J285+J298+J307+J309+J312+J314+J324+J347+J351+J356+J366+J367+J368+J370+J386+J387+J388+J389+J394+J395+J406+J407+J408+J412+J416+J427+J431+J456+J461+J465+J473+J474+J483+J493+J494+J308+J310+J311+J313+J217</f>
        <v>215047453</v>
      </c>
      <c r="K499" s="1401">
        <f t="shared" si="107"/>
        <v>0.8091548887205825</v>
      </c>
      <c r="L499" s="1396"/>
    </row>
    <row r="500" spans="1:14" s="842" customFormat="1" ht="15" hidden="1" customHeight="1">
      <c r="A500" s="1397" t="s">
        <v>1025</v>
      </c>
      <c r="B500" s="1398"/>
      <c r="C500" s="1399"/>
      <c r="D500" s="1400"/>
      <c r="E500" s="1395">
        <f>E13+E14+E15+E32+E52+E57+E58+E59+E65+E66+E69+E75+E80+E82+E86+E90+E91+E106+E108+E113+E122+E123+E124+E125+E132+E133+E134+E138+E142+E143+E150+E157+E158+E164+E168+E169+E170+E171+E177+E181+E182+E185+E212+E216+E218+E234+E235+E236+E237+E241+E242+E247+E251+E256+E260+E264+E294+E302+E303+E318+E319+E320+E325+E326+E360+E361+E362+E369+E371+E372+E379+E385+E396+E397+E398+E399+E400+E417+E418+E423+E435+E439+E440+E441+E442+E447+E448+E452+E487+E214+E380</f>
        <v>568437813</v>
      </c>
      <c r="F500" s="1395">
        <f>F13+F14+F15+F32+F52+F57+F58+F59+F65+F66+F69+F75+F80+F82+F86+F90+F91+F106+F108+F113+F122+F123+F124+F125+F132+F133+F134+F138+F142+F143+F150+F157+F158+F164+F168+F169+F170+F171+F177+F181+F182+F185+F212+F216+F218+F234+F235+F236+F237+F241+F242+F247+F251+F256+F260+F264+F294+F302+F303+F318+F319+F320+F325+F326+F360+F361+F362+F369+F371+F372+F379+F385+F396+F397+F398+F399+F400+F417+F418+F423+F435+F439+F440+F441+F442+F447+F448+F452+F487+F214+F380</f>
        <v>570865025</v>
      </c>
      <c r="G500" s="1395">
        <f>G13+G14+G15+G32+G52+G57+G58+G59+G65+G66+G69+G75+G80+G82+G86+G90+G91+G106+G108+G113+G122+G123+G124+G125+G132+G133+G134+G138+G142+G143+G150+G157+G158+G164+G168+G169+G170+G171+G177+G181+G182+G185+G212+G216+G218+G234+G235+G236+G237+G241+G242+G247+G251+G256+G260+G264+G294+G302+G303+G318+G319+G320+G325+G326+G360+G361+G362+G369+G371+G372+G379+G385+G396+G397+G398+G399+G400+G417+G418+G423+G435+G439+G440+G441+G442+G447+G448+G452+G487+G214+G380</f>
        <v>620108997</v>
      </c>
      <c r="H500" s="1401">
        <f t="shared" si="117"/>
        <v>1.0862620231463647</v>
      </c>
      <c r="I500" s="1395">
        <f>I13+I14+I15+I32+I52+I57+I58+I59+I65+I66+I69+I75+I80+I82+I86+I90+I91+I106+I108+I113+I122+I123+I124+I125+I132+I133+I134+I138+I142+I143+I150+I157+I158+I164+I168+I169+I170+I171+I177+I181+I182+I185+I212+I216+I218+I234+I235+I236+I237+I241+I242+I247+I251+I256+I260+I264+I294+I302+I303+I318+I319+I320+I325+I326+I360+I361+I362+I369+I371+I372+I379+I385+I396+I397+I398+I399+I400+I417+I418+I423+I435+I439+I440+I441+I442+I447+I448+I452+I487+I214+I380</f>
        <v>-1163207</v>
      </c>
      <c r="J500" s="1395">
        <f>J13+J14+J15+J32+J52+J57+J58+J59+J65+J66+J69+J75+J80+J82+J86+J90+J91+J106+J108+J113+J122+J123+J124+J125+J132+J133+J134+J138+J142+J143+J150+J157+J158+J164+J168+J169+J170+J171+J177+J181+J182+J185+J212+J216+J218+J234+J235+J236+J237+J241+J242+J247+J251+J256+J260+J264+J294+J302+J303+J318+J319+J320+J325+J326+J360+J361+J362+J369+J371+J372+J379+J385+J396+J397+J398+J399+J400+J417+J418+J423+J435+J439+J440+J441+J442+J447+J448+J452+J487+J214+J380</f>
        <v>618945790</v>
      </c>
      <c r="K500" s="1401">
        <f t="shared" si="107"/>
        <v>1.0842244013810445</v>
      </c>
      <c r="L500" s="1396"/>
    </row>
    <row r="501" spans="1:14" s="842" customFormat="1">
      <c r="A501" s="2746" t="s">
        <v>465</v>
      </c>
      <c r="B501" s="2747"/>
      <c r="C501" s="2748"/>
      <c r="D501" s="1391"/>
      <c r="E501" s="1392">
        <f>E16+E29+E33+E42+E48+E53+E60+E70+E76+E83+E87+E96+E109+E114+E118+E126+E135+E139+E146+E151+E159+E165+E173+E178+E188+E192+E197+E220+E230+E238+E243+E248+E252+E257+E261+E265+E272+E286+E295+E299+E304+E315+E321+E327+E337+E342+E348+E352+E357+E363+E373+E381+E390+E401+E409+E413+E419+E424+E428+E432+E436+E443+E449+E453+E457+E462+E466+E469+E475+E479+E484+E488+E495</f>
        <v>424372915</v>
      </c>
      <c r="F501" s="1393">
        <f>F16+F29+F33+F42+F48+F53+F60+F70+F76+F83+F87+F96+F109+F114+F118+F126+F135+F139+F146+F151+F159+F165+F173+F178+F188+F192+F197+F220+F230+F238+F243+F248+F252+F257+F261+F265+F272+F286+F295+F299+F304+F315+F321+F327+F337+F342+F348+F352+F357+F363+F373+F381+F390+F401+F409+F413+F419+F424+F428+F432+F436+F443+F449+F453+F457+F462+F466+F469+F475+F479+F484+F488+F495</f>
        <v>420794877</v>
      </c>
      <c r="G501" s="1392">
        <f>G16+G29+G33+G42+G48+G53+G60+G70+G76+G83+G87+G96+G109+G114+G118+G126+G135+G139+G146+G151+G159+G165+G173+G178+G188+G192+G197+G220+G230+G238+G243+G248+G252+G257+G261+G265+G272+G286+G295+G299+G304+G315+G321+G327+G337+G342+G348+G352+G357+G363+G373+G381+G390+G401+G409+G413+G419+G424+G428+G432+G436+G443+G449+G453+G457+G462+G466+G469+G475+G479+G484+G488+G495</f>
        <v>296465712</v>
      </c>
      <c r="H501" s="1394">
        <f t="shared" si="117"/>
        <v>0.70453736061049999</v>
      </c>
      <c r="I501" s="1392">
        <f>I16+I29+I33+I42+I48+I53+I60+I70+I76+I83+I87+I96+I109+I114+I118+I126+I135+I139+I146+I151+I159+I165+I173+I178+I188+I192+I197+I220+I230+I238+I243+I248+I252+I257+I261+I265+I272+I286+I295+I299+I304+I315+I321+I327+I337+I342+I348+I352+I357+I363+I373+I381+I390+I401+I409+I413+I419+I424+I428+I432+I436+I443+I449+I453+I457+I462+I466+I469+I475+I479+I484+I488+I495</f>
        <v>25875408</v>
      </c>
      <c r="J501" s="1395">
        <f>J16+J29+J33+J42+J48+J53+J60+J70+J76+J83+J87+J96+J109+J114+J118+J126+J135+J139+J146+J151+J159+J165+J173+J178+J188+J192+J197+J220+J230+J238+J243+J248+J252+J257+J261+J265+J272+J286+J295+J299+J304+J315+J321+J327+J337+J342+J348+J352+J357+J363+J373+J381+J390+J401+J409+J413+J419+J424+J428+J432+J436+J443+J449+J453+J457+J462+J466+J469+J475+J479+J484+J488+J495</f>
        <v>322341120</v>
      </c>
      <c r="K501" s="1394">
        <f t="shared" si="107"/>
        <v>0.76602909783048523</v>
      </c>
      <c r="L501" s="1395">
        <f>L71+L76+L96+L97+L98+L99+L100+L102+L192+L220+L221+L222+L223+L224+L252+L272+L273+L274+L276+L277+L286+L288+L342+L381+L475+L70+L287+L289</f>
        <v>0</v>
      </c>
      <c r="N501" s="1402"/>
    </row>
    <row r="502" spans="1:14" s="842" customFormat="1" ht="15" hidden="1" customHeight="1">
      <c r="A502" s="1397" t="s">
        <v>1024</v>
      </c>
      <c r="B502" s="1398"/>
      <c r="C502" s="1399"/>
      <c r="D502" s="1400"/>
      <c r="E502" s="1395">
        <f>E72+E77+E97+E98+E99+E100+E101+E103+E193+E221+E222+E223+E224+E225+E253+E273+E274+E275+E277+E278+E287+E289+E343+E382+E476+E71+E288+E290+E102</f>
        <v>401396019</v>
      </c>
      <c r="F502" s="1395">
        <f>F72+F77+F97+F98+F99+F100+F101+F103+F193+F221+F222+F223+F224+F225+F253+F273+F274+F275+F277+F278+F287+F289+F343+F382+F476+F71+F288+F290+F102</f>
        <v>396589113</v>
      </c>
      <c r="G502" s="1395">
        <f>G72+G77+G97+G98+G99+G100+G101+G103+G193+G221+G222+G223+G224+G225+G253+G273+G274+G275+G277+G278+G287+G289+G343+G382+G476+G71+G288+G290+G102</f>
        <v>291568812</v>
      </c>
      <c r="H502" s="1401">
        <f t="shared" si="117"/>
        <v>0.73519116496775849</v>
      </c>
      <c r="I502" s="1395">
        <f>I72+I77+I97+I98+I99+I100+I101+I103+I193+I221+I222+I223+I224+I225+I253+I273+I274+I275+I277+I278+I287+I289+I343+I382+I476+I71+I288+I290+I102</f>
        <v>25875408</v>
      </c>
      <c r="J502" s="1395">
        <f>J72+J77+J97+J98+J99+J100+J101+J103+J193+J221+J222+J223+J224+J225+J253+J273+J274+J275+J277+J278+J287+J289+J343+J382+J476+J71+J288+J290+J102</f>
        <v>317444220</v>
      </c>
      <c r="K502" s="1401">
        <f t="shared" si="107"/>
        <v>0.80043604222690801</v>
      </c>
      <c r="L502" s="1396"/>
    </row>
    <row r="503" spans="1:14" s="842" customFormat="1" ht="15" hidden="1" customHeight="1" thickBot="1">
      <c r="A503" s="1403" t="s">
        <v>1025</v>
      </c>
      <c r="B503" s="1404"/>
      <c r="C503" s="1405"/>
      <c r="D503" s="1406"/>
      <c r="E503" s="1407">
        <f>E61+E127+E128+E152+E276+E328+E339+E374+E375+E402+E470+E480</f>
        <v>22976896</v>
      </c>
      <c r="F503" s="1408">
        <f>F61+F127+F128+F152+F276+F328+F339+F374+F375+F402+F470+F480</f>
        <v>24205764</v>
      </c>
      <c r="G503" s="1407">
        <f>G61+G127+G128+G152+G276+G328+G339+G374+G375+G402+G470+G480</f>
        <v>4896900</v>
      </c>
      <c r="H503" s="1409">
        <f t="shared" si="117"/>
        <v>0.20230305476001501</v>
      </c>
      <c r="I503" s="1407">
        <f>I61+I127+I128+I152+I276+I328+I339+I374+I375+I402+I470+I480</f>
        <v>0</v>
      </c>
      <c r="J503" s="1407">
        <f>J61+J127+J128+J152+J276+J328+J339+J374+J375+J402+J470+J480</f>
        <v>4896900</v>
      </c>
      <c r="K503" s="1409">
        <f t="shared" si="107"/>
        <v>0.20230305476001501</v>
      </c>
      <c r="L503" s="1410"/>
    </row>
    <row r="504" spans="1:14">
      <c r="H504" s="377"/>
    </row>
    <row r="505" spans="1:14">
      <c r="A505" s="370"/>
      <c r="B505" s="370"/>
      <c r="C505" s="421"/>
      <c r="D505" s="531"/>
    </row>
    <row r="506" spans="1:14">
      <c r="A506" s="370"/>
      <c r="B506" s="370"/>
      <c r="C506" s="421"/>
      <c r="D506" s="531"/>
    </row>
    <row r="507" spans="1:14">
      <c r="A507" s="370"/>
      <c r="B507" s="370"/>
      <c r="C507" s="421"/>
      <c r="D507" s="531"/>
      <c r="E507" s="377">
        <f>E498+E501</f>
        <v>1237408088</v>
      </c>
      <c r="F507" s="377">
        <f>F498+F501</f>
        <v>1257427873</v>
      </c>
      <c r="G507" s="377">
        <f>G498+G501</f>
        <v>1131009211</v>
      </c>
      <c r="H507" s="377"/>
      <c r="I507" s="377">
        <f t="shared" ref="I507" si="121">I498+I501</f>
        <v>25325152</v>
      </c>
    </row>
    <row r="508" spans="1:14">
      <c r="A508" s="370"/>
      <c r="B508" s="370"/>
      <c r="C508" s="421"/>
      <c r="D508" s="531"/>
    </row>
    <row r="509" spans="1:14">
      <c r="A509" s="370"/>
      <c r="B509" s="370"/>
      <c r="C509" s="421"/>
      <c r="D509" s="531"/>
    </row>
    <row r="510" spans="1:14">
      <c r="A510" s="370"/>
      <c r="B510" s="370"/>
      <c r="C510" s="421"/>
      <c r="D510" s="531"/>
    </row>
    <row r="511" spans="1:14">
      <c r="A511" s="370"/>
      <c r="B511" s="370"/>
      <c r="C511" s="421"/>
      <c r="D511" s="531"/>
    </row>
    <row r="512" spans="1:14" s="377" customFormat="1">
      <c r="A512" s="370"/>
      <c r="B512" s="370"/>
      <c r="C512" s="421"/>
      <c r="D512" s="531"/>
      <c r="H512" s="369"/>
      <c r="K512" s="369"/>
      <c r="L512" s="369"/>
    </row>
    <row r="513" spans="1:12" s="377" customFormat="1">
      <c r="A513" s="370"/>
      <c r="B513" s="370"/>
      <c r="C513" s="421"/>
      <c r="D513" s="531"/>
      <c r="H513" s="369"/>
      <c r="K513" s="369"/>
      <c r="L513" s="369"/>
    </row>
    <row r="514" spans="1:12" s="377" customFormat="1">
      <c r="A514" s="370"/>
      <c r="B514" s="370"/>
      <c r="C514" s="421"/>
      <c r="D514" s="531"/>
      <c r="H514" s="369"/>
      <c r="K514" s="369"/>
      <c r="L514" s="369"/>
    </row>
    <row r="515" spans="1:12" s="377" customFormat="1">
      <c r="A515" s="370"/>
      <c r="B515" s="370"/>
      <c r="C515" s="421"/>
      <c r="D515" s="531"/>
      <c r="H515" s="369"/>
      <c r="K515" s="369"/>
      <c r="L515" s="369"/>
    </row>
    <row r="516" spans="1:12" s="377" customFormat="1">
      <c r="A516" s="370"/>
      <c r="B516" s="370"/>
      <c r="C516" s="421"/>
      <c r="D516" s="531"/>
      <c r="H516" s="369"/>
      <c r="K516" s="369"/>
      <c r="L516" s="369"/>
    </row>
    <row r="517" spans="1:12" s="377" customFormat="1">
      <c r="A517" s="370"/>
      <c r="B517" s="370"/>
      <c r="C517" s="421"/>
      <c r="D517" s="531"/>
      <c r="H517" s="369"/>
      <c r="K517" s="369"/>
      <c r="L517" s="369"/>
    </row>
    <row r="518" spans="1:12" s="377" customFormat="1">
      <c r="A518" s="370"/>
      <c r="B518" s="370"/>
      <c r="C518" s="421"/>
      <c r="D518" s="531"/>
      <c r="H518" s="369"/>
      <c r="K518" s="369"/>
      <c r="L518" s="369"/>
    </row>
    <row r="519" spans="1:12" s="377" customFormat="1">
      <c r="A519" s="370"/>
      <c r="B519" s="370"/>
      <c r="C519" s="421"/>
      <c r="D519" s="531"/>
      <c r="H519" s="369"/>
      <c r="K519" s="369"/>
      <c r="L519" s="369"/>
    </row>
    <row r="520" spans="1:12" s="377" customFormat="1">
      <c r="A520" s="370"/>
      <c r="B520" s="370"/>
      <c r="C520" s="421"/>
      <c r="D520" s="531"/>
      <c r="H520" s="369"/>
      <c r="K520" s="369"/>
      <c r="L520" s="369"/>
    </row>
    <row r="521" spans="1:12" s="377" customFormat="1">
      <c r="A521" s="370"/>
      <c r="B521" s="370"/>
      <c r="C521" s="421"/>
      <c r="D521" s="531"/>
      <c r="H521" s="369"/>
      <c r="K521" s="369"/>
      <c r="L521" s="369"/>
    </row>
    <row r="522" spans="1:12" s="377" customFormat="1">
      <c r="A522" s="370"/>
      <c r="B522" s="370"/>
      <c r="C522" s="421"/>
      <c r="D522" s="531"/>
      <c r="H522" s="369"/>
      <c r="K522" s="369"/>
      <c r="L522" s="369"/>
    </row>
    <row r="523" spans="1:12" s="377" customFormat="1">
      <c r="A523" s="370"/>
      <c r="B523" s="370"/>
      <c r="C523" s="421"/>
      <c r="D523" s="531"/>
      <c r="H523" s="369"/>
      <c r="K523" s="369"/>
      <c r="L523" s="369"/>
    </row>
    <row r="524" spans="1:12" s="377" customFormat="1">
      <c r="A524" s="370"/>
      <c r="B524" s="370"/>
      <c r="C524" s="421"/>
      <c r="D524" s="370"/>
      <c r="H524" s="369"/>
      <c r="K524" s="369"/>
      <c r="L524" s="369"/>
    </row>
    <row r="525" spans="1:12" s="377" customFormat="1">
      <c r="A525" s="370"/>
      <c r="B525" s="370"/>
      <c r="C525" s="421"/>
      <c r="D525" s="370"/>
      <c r="H525" s="369"/>
      <c r="K525" s="369"/>
      <c r="L525" s="369"/>
    </row>
    <row r="526" spans="1:12" s="377" customFormat="1">
      <c r="A526" s="370"/>
      <c r="B526" s="370"/>
      <c r="C526" s="421"/>
      <c r="D526" s="370"/>
      <c r="H526" s="369"/>
      <c r="K526" s="369"/>
      <c r="L526" s="369"/>
    </row>
    <row r="527" spans="1:12" s="377" customFormat="1">
      <c r="A527" s="370"/>
      <c r="B527" s="370"/>
      <c r="C527" s="421"/>
      <c r="D527" s="370"/>
      <c r="H527" s="369"/>
      <c r="K527" s="369"/>
      <c r="L527" s="369"/>
    </row>
    <row r="528" spans="1:12" s="377" customFormat="1">
      <c r="A528" s="370"/>
      <c r="B528" s="370"/>
      <c r="C528" s="421"/>
      <c r="D528" s="370"/>
      <c r="H528" s="369"/>
      <c r="K528" s="369"/>
      <c r="L528" s="369"/>
    </row>
    <row r="529" spans="1:12" s="377" customFormat="1">
      <c r="A529" s="370"/>
      <c r="B529" s="370"/>
      <c r="C529" s="421"/>
      <c r="D529" s="370"/>
      <c r="H529" s="369"/>
      <c r="K529" s="369"/>
      <c r="L529" s="369"/>
    </row>
    <row r="530" spans="1:12" s="377" customFormat="1">
      <c r="A530" s="370"/>
      <c r="B530" s="370"/>
      <c r="C530" s="421"/>
      <c r="D530" s="370"/>
      <c r="H530" s="369"/>
      <c r="K530" s="369"/>
      <c r="L530" s="369"/>
    </row>
    <row r="531" spans="1:12" s="377" customFormat="1">
      <c r="A531" s="370"/>
      <c r="B531" s="370"/>
      <c r="C531" s="421"/>
      <c r="D531" s="370"/>
      <c r="H531" s="369"/>
      <c r="K531" s="369"/>
      <c r="L531" s="369"/>
    </row>
    <row r="532" spans="1:12" s="377" customFormat="1">
      <c r="A532" s="370"/>
      <c r="B532" s="370"/>
      <c r="C532" s="421"/>
      <c r="D532" s="370"/>
      <c r="H532" s="369"/>
      <c r="K532" s="369"/>
      <c r="L532" s="369"/>
    </row>
    <row r="533" spans="1:12" s="377" customFormat="1">
      <c r="A533" s="370"/>
      <c r="B533" s="370"/>
      <c r="C533" s="421"/>
      <c r="D533" s="370"/>
      <c r="H533" s="369"/>
      <c r="K533" s="369"/>
      <c r="L533" s="369"/>
    </row>
    <row r="534" spans="1:12" s="377" customFormat="1">
      <c r="A534" s="370"/>
      <c r="B534" s="370"/>
      <c r="C534" s="421"/>
      <c r="D534" s="370"/>
      <c r="H534" s="369"/>
      <c r="K534" s="369"/>
      <c r="L534" s="369"/>
    </row>
    <row r="535" spans="1:12" s="377" customFormat="1">
      <c r="A535" s="370"/>
      <c r="B535" s="370"/>
      <c r="C535" s="421"/>
      <c r="D535" s="370"/>
      <c r="H535" s="369"/>
      <c r="K535" s="369"/>
      <c r="L535" s="369"/>
    </row>
    <row r="536" spans="1:12" s="377" customFormat="1">
      <c r="A536" s="370"/>
      <c r="B536" s="370"/>
      <c r="C536" s="421"/>
      <c r="D536" s="370"/>
      <c r="H536" s="369"/>
      <c r="K536" s="369"/>
      <c r="L536" s="369"/>
    </row>
    <row r="537" spans="1:12" s="377" customFormat="1">
      <c r="A537" s="370"/>
      <c r="B537" s="370"/>
      <c r="C537" s="421"/>
      <c r="D537" s="370"/>
      <c r="H537" s="369"/>
      <c r="K537" s="369"/>
      <c r="L537" s="369"/>
    </row>
    <row r="538" spans="1:12" s="377" customFormat="1">
      <c r="A538" s="370"/>
      <c r="B538" s="370"/>
      <c r="C538" s="421"/>
      <c r="D538" s="370"/>
      <c r="H538" s="369"/>
      <c r="K538" s="369"/>
      <c r="L538" s="369"/>
    </row>
    <row r="539" spans="1:12" s="377" customFormat="1">
      <c r="A539" s="370"/>
      <c r="B539" s="370"/>
      <c r="C539" s="421"/>
      <c r="D539" s="370"/>
      <c r="H539" s="369"/>
      <c r="K539" s="369"/>
      <c r="L539" s="369"/>
    </row>
    <row r="540" spans="1:12" s="377" customFormat="1">
      <c r="A540" s="370"/>
      <c r="B540" s="370"/>
      <c r="C540" s="421"/>
      <c r="D540" s="370"/>
      <c r="H540" s="369"/>
      <c r="K540" s="369"/>
      <c r="L540" s="369"/>
    </row>
    <row r="541" spans="1:12" s="377" customFormat="1">
      <c r="A541" s="370"/>
      <c r="B541" s="370"/>
      <c r="C541" s="421"/>
      <c r="D541" s="370"/>
      <c r="H541" s="369"/>
      <c r="K541" s="369"/>
      <c r="L541" s="369"/>
    </row>
    <row r="542" spans="1:12" s="377" customFormat="1">
      <c r="A542" s="370"/>
      <c r="B542" s="370"/>
      <c r="C542" s="421"/>
      <c r="D542" s="370"/>
      <c r="H542" s="369"/>
      <c r="K542" s="369"/>
      <c r="L542" s="369"/>
    </row>
    <row r="543" spans="1:12" s="377" customFormat="1">
      <c r="A543" s="370"/>
      <c r="B543" s="370"/>
      <c r="C543" s="421"/>
      <c r="D543" s="370"/>
      <c r="H543" s="369"/>
      <c r="K543" s="369"/>
      <c r="L543" s="369"/>
    </row>
    <row r="544" spans="1:12" s="377" customFormat="1">
      <c r="A544" s="370"/>
      <c r="B544" s="370"/>
      <c r="C544" s="421"/>
      <c r="D544" s="370"/>
      <c r="H544" s="369"/>
      <c r="K544" s="369"/>
      <c r="L544" s="369"/>
    </row>
    <row r="545" spans="1:12" s="377" customFormat="1">
      <c r="A545" s="370"/>
      <c r="B545" s="370"/>
      <c r="C545" s="421"/>
      <c r="D545" s="370"/>
      <c r="H545" s="369"/>
      <c r="K545" s="369"/>
      <c r="L545" s="369"/>
    </row>
    <row r="546" spans="1:12" s="377" customFormat="1">
      <c r="A546" s="370"/>
      <c r="B546" s="370"/>
      <c r="C546" s="421"/>
      <c r="D546" s="370"/>
      <c r="H546" s="369"/>
      <c r="K546" s="369"/>
      <c r="L546" s="369"/>
    </row>
    <row r="547" spans="1:12" s="377" customFormat="1">
      <c r="A547" s="370"/>
      <c r="B547" s="370"/>
      <c r="C547" s="421"/>
      <c r="D547" s="370"/>
      <c r="H547" s="369"/>
      <c r="K547" s="369"/>
      <c r="L547" s="369"/>
    </row>
    <row r="548" spans="1:12" s="377" customFormat="1">
      <c r="A548" s="370"/>
      <c r="B548" s="370"/>
      <c r="C548" s="421"/>
      <c r="D548" s="370"/>
      <c r="H548" s="369"/>
      <c r="K548" s="369"/>
      <c r="L548" s="369"/>
    </row>
    <row r="549" spans="1:12" s="377" customFormat="1">
      <c r="A549" s="370"/>
      <c r="B549" s="370"/>
      <c r="C549" s="421"/>
      <c r="D549" s="370"/>
      <c r="H549" s="369"/>
      <c r="K549" s="369"/>
      <c r="L549" s="369"/>
    </row>
    <row r="550" spans="1:12" s="377" customFormat="1">
      <c r="A550" s="370"/>
      <c r="B550" s="370"/>
      <c r="C550" s="421"/>
      <c r="D550" s="370"/>
      <c r="H550" s="369"/>
      <c r="K550" s="369"/>
      <c r="L550" s="369"/>
    </row>
    <row r="551" spans="1:12" s="377" customFormat="1">
      <c r="A551" s="370"/>
      <c r="B551" s="370"/>
      <c r="C551" s="421"/>
      <c r="D551" s="370"/>
      <c r="H551" s="369"/>
      <c r="K551" s="369"/>
      <c r="L551" s="369"/>
    </row>
    <row r="552" spans="1:12" s="377" customFormat="1">
      <c r="A552" s="370"/>
      <c r="B552" s="370"/>
      <c r="C552" s="421"/>
      <c r="D552" s="370"/>
      <c r="H552" s="369"/>
      <c r="K552" s="369"/>
      <c r="L552" s="369"/>
    </row>
    <row r="553" spans="1:12" s="377" customFormat="1">
      <c r="A553" s="370"/>
      <c r="B553" s="370"/>
      <c r="C553" s="421"/>
      <c r="D553" s="370"/>
      <c r="H553" s="369"/>
      <c r="K553" s="369"/>
      <c r="L553" s="369"/>
    </row>
    <row r="554" spans="1:12" s="377" customFormat="1">
      <c r="A554" s="370"/>
      <c r="B554" s="370"/>
      <c r="C554" s="421"/>
      <c r="D554" s="370"/>
      <c r="H554" s="369"/>
      <c r="K554" s="369"/>
      <c r="L554" s="369"/>
    </row>
    <row r="555" spans="1:12" s="377" customFormat="1">
      <c r="A555" s="370"/>
      <c r="B555" s="370"/>
      <c r="C555" s="421"/>
      <c r="D555" s="370"/>
      <c r="H555" s="369"/>
      <c r="K555" s="369"/>
      <c r="L555" s="369"/>
    </row>
    <row r="556" spans="1:12" s="377" customFormat="1">
      <c r="A556" s="370"/>
      <c r="B556" s="370"/>
      <c r="C556" s="421"/>
      <c r="D556" s="370"/>
      <c r="H556" s="369"/>
      <c r="K556" s="369"/>
      <c r="L556" s="369"/>
    </row>
    <row r="557" spans="1:12" s="377" customFormat="1">
      <c r="A557" s="370"/>
      <c r="B557" s="370"/>
      <c r="C557" s="421"/>
      <c r="D557" s="370"/>
      <c r="H557" s="369"/>
      <c r="K557" s="369"/>
      <c r="L557" s="369"/>
    </row>
    <row r="558" spans="1:12" s="377" customFormat="1">
      <c r="A558" s="370"/>
      <c r="B558" s="370"/>
      <c r="C558" s="421"/>
      <c r="D558" s="370"/>
      <c r="H558" s="369"/>
      <c r="K558" s="369"/>
      <c r="L558" s="369"/>
    </row>
    <row r="559" spans="1:12" s="377" customFormat="1">
      <c r="A559" s="370"/>
      <c r="B559" s="370"/>
      <c r="C559" s="421"/>
      <c r="D559" s="370"/>
      <c r="H559" s="369"/>
      <c r="K559" s="369"/>
      <c r="L559" s="369"/>
    </row>
    <row r="560" spans="1:12" s="377" customFormat="1">
      <c r="A560" s="370"/>
      <c r="B560" s="370"/>
      <c r="C560" s="421"/>
      <c r="D560" s="370"/>
      <c r="H560" s="369"/>
      <c r="K560" s="369"/>
      <c r="L560" s="369"/>
    </row>
    <row r="561" spans="1:12" s="377" customFormat="1">
      <c r="A561" s="370"/>
      <c r="B561" s="370"/>
      <c r="C561" s="421"/>
      <c r="D561" s="370"/>
      <c r="H561" s="369"/>
      <c r="K561" s="369"/>
      <c r="L561" s="369"/>
    </row>
    <row r="562" spans="1:12" s="377" customFormat="1">
      <c r="A562" s="370"/>
      <c r="B562" s="370"/>
      <c r="C562" s="421"/>
      <c r="D562" s="370"/>
      <c r="H562" s="369"/>
      <c r="K562" s="369"/>
      <c r="L562" s="369"/>
    </row>
    <row r="563" spans="1:12" s="377" customFormat="1">
      <c r="A563" s="370"/>
      <c r="B563" s="370"/>
      <c r="C563" s="421"/>
      <c r="D563" s="370"/>
      <c r="H563" s="369"/>
      <c r="K563" s="369"/>
      <c r="L563" s="369"/>
    </row>
    <row r="564" spans="1:12" s="377" customFormat="1">
      <c r="A564" s="370"/>
      <c r="B564" s="370"/>
      <c r="C564" s="421"/>
      <c r="D564" s="370"/>
      <c r="H564" s="369"/>
      <c r="K564" s="369"/>
      <c r="L564" s="369"/>
    </row>
    <row r="565" spans="1:12" s="377" customFormat="1">
      <c r="A565" s="370"/>
      <c r="B565" s="370"/>
      <c r="C565" s="421"/>
      <c r="D565" s="370"/>
      <c r="H565" s="369"/>
      <c r="K565" s="369"/>
      <c r="L565" s="369"/>
    </row>
    <row r="566" spans="1:12" s="377" customFormat="1">
      <c r="A566" s="370"/>
      <c r="B566" s="370"/>
      <c r="C566" s="421"/>
      <c r="D566" s="370"/>
      <c r="H566" s="369"/>
      <c r="K566" s="369"/>
      <c r="L566" s="369"/>
    </row>
    <row r="567" spans="1:12" s="377" customFormat="1">
      <c r="A567" s="370"/>
      <c r="B567" s="370"/>
      <c r="C567" s="421"/>
      <c r="D567" s="370"/>
      <c r="H567" s="369"/>
      <c r="K567" s="369"/>
      <c r="L567" s="369"/>
    </row>
    <row r="568" spans="1:12" s="377" customFormat="1">
      <c r="A568" s="370"/>
      <c r="B568" s="370"/>
      <c r="C568" s="421"/>
      <c r="D568" s="370"/>
      <c r="H568" s="369"/>
      <c r="K568" s="369"/>
      <c r="L568" s="369"/>
    </row>
    <row r="569" spans="1:12" s="377" customFormat="1">
      <c r="A569" s="370"/>
      <c r="B569" s="370"/>
      <c r="C569" s="421"/>
      <c r="D569" s="370"/>
      <c r="H569" s="369"/>
      <c r="K569" s="369"/>
      <c r="L569" s="369"/>
    </row>
    <row r="570" spans="1:12" s="377" customFormat="1">
      <c r="A570" s="370"/>
      <c r="B570" s="370"/>
      <c r="C570" s="421"/>
      <c r="D570" s="370"/>
      <c r="H570" s="369"/>
      <c r="K570" s="369"/>
      <c r="L570" s="369"/>
    </row>
    <row r="571" spans="1:12" s="377" customFormat="1">
      <c r="A571" s="370"/>
      <c r="B571" s="370"/>
      <c r="C571" s="421"/>
      <c r="D571" s="370"/>
      <c r="H571" s="369"/>
      <c r="K571" s="369"/>
      <c r="L571" s="369"/>
    </row>
    <row r="572" spans="1:12" s="377" customFormat="1">
      <c r="A572" s="370"/>
      <c r="B572" s="370"/>
      <c r="C572" s="421"/>
      <c r="D572" s="370"/>
      <c r="H572" s="369"/>
      <c r="K572" s="369"/>
      <c r="L572" s="369"/>
    </row>
    <row r="573" spans="1:12" s="377" customFormat="1">
      <c r="A573" s="370"/>
      <c r="B573" s="370"/>
      <c r="C573" s="421"/>
      <c r="D573" s="370"/>
      <c r="H573" s="369"/>
      <c r="K573" s="369"/>
      <c r="L573" s="369"/>
    </row>
    <row r="574" spans="1:12" s="377" customFormat="1">
      <c r="A574" s="370"/>
      <c r="B574" s="370"/>
      <c r="C574" s="421"/>
      <c r="D574" s="370"/>
      <c r="H574" s="369"/>
      <c r="K574" s="369"/>
      <c r="L574" s="369"/>
    </row>
    <row r="575" spans="1:12" s="377" customFormat="1">
      <c r="A575" s="370"/>
      <c r="B575" s="370"/>
      <c r="C575" s="421"/>
      <c r="D575" s="370"/>
      <c r="H575" s="369"/>
      <c r="K575" s="369"/>
      <c r="L575" s="369"/>
    </row>
    <row r="576" spans="1:12" s="377" customFormat="1">
      <c r="A576" s="370"/>
      <c r="B576" s="370"/>
      <c r="C576" s="421"/>
      <c r="D576" s="370"/>
      <c r="H576" s="369"/>
      <c r="K576" s="369"/>
      <c r="L576" s="369"/>
    </row>
    <row r="577" spans="1:12" s="377" customFormat="1">
      <c r="A577" s="370"/>
      <c r="B577" s="370"/>
      <c r="C577" s="421"/>
      <c r="D577" s="370"/>
      <c r="H577" s="369"/>
      <c r="K577" s="369"/>
      <c r="L577" s="369"/>
    </row>
    <row r="578" spans="1:12" s="377" customFormat="1">
      <c r="A578" s="370"/>
      <c r="B578" s="370"/>
      <c r="C578" s="421"/>
      <c r="D578" s="370"/>
      <c r="H578" s="369"/>
      <c r="K578" s="369"/>
      <c r="L578" s="369"/>
    </row>
    <row r="579" spans="1:12" s="377" customFormat="1">
      <c r="A579" s="370"/>
      <c r="B579" s="370"/>
      <c r="C579" s="421"/>
      <c r="D579" s="370"/>
      <c r="H579" s="369"/>
      <c r="K579" s="369"/>
      <c r="L579" s="369"/>
    </row>
    <row r="580" spans="1:12" s="377" customFormat="1">
      <c r="A580" s="370"/>
      <c r="B580" s="370"/>
      <c r="C580" s="421"/>
      <c r="D580" s="370"/>
      <c r="H580" s="369"/>
      <c r="K580" s="369"/>
      <c r="L580" s="369"/>
    </row>
    <row r="581" spans="1:12" s="377" customFormat="1">
      <c r="A581" s="370"/>
      <c r="B581" s="370"/>
      <c r="C581" s="421"/>
      <c r="D581" s="370"/>
      <c r="H581" s="369"/>
      <c r="K581" s="369"/>
      <c r="L581" s="369"/>
    </row>
    <row r="582" spans="1:12" s="377" customFormat="1">
      <c r="A582" s="370"/>
      <c r="B582" s="370"/>
      <c r="C582" s="421"/>
      <c r="D582" s="370"/>
      <c r="H582" s="369"/>
      <c r="K582" s="369"/>
      <c r="L582" s="369"/>
    </row>
    <row r="583" spans="1:12" s="377" customFormat="1">
      <c r="A583" s="370"/>
      <c r="B583" s="370"/>
      <c r="C583" s="421"/>
      <c r="D583" s="370"/>
      <c r="H583" s="369"/>
      <c r="K583" s="369"/>
      <c r="L583" s="369"/>
    </row>
    <row r="584" spans="1:12" s="377" customFormat="1">
      <c r="A584" s="370"/>
      <c r="B584" s="370"/>
      <c r="C584" s="421"/>
      <c r="D584" s="370"/>
      <c r="H584" s="369"/>
      <c r="K584" s="369"/>
      <c r="L584" s="369"/>
    </row>
    <row r="585" spans="1:12" s="377" customFormat="1">
      <c r="A585" s="370"/>
      <c r="B585" s="370"/>
      <c r="C585" s="421"/>
      <c r="D585" s="370"/>
      <c r="H585" s="369"/>
      <c r="K585" s="369"/>
      <c r="L585" s="369"/>
    </row>
    <row r="586" spans="1:12" s="377" customFormat="1">
      <c r="A586" s="370"/>
      <c r="B586" s="370"/>
      <c r="C586" s="421"/>
      <c r="D586" s="370"/>
      <c r="H586" s="369"/>
      <c r="K586" s="369"/>
      <c r="L586" s="369"/>
    </row>
    <row r="587" spans="1:12" s="377" customFormat="1">
      <c r="A587" s="370"/>
      <c r="B587" s="370"/>
      <c r="C587" s="421"/>
      <c r="D587" s="370"/>
      <c r="H587" s="369"/>
      <c r="K587" s="369"/>
      <c r="L587" s="369"/>
    </row>
    <row r="588" spans="1:12" s="377" customFormat="1">
      <c r="A588" s="370"/>
      <c r="B588" s="370"/>
      <c r="C588" s="421"/>
      <c r="D588" s="370"/>
      <c r="H588" s="369"/>
      <c r="K588" s="369"/>
      <c r="L588" s="369"/>
    </row>
    <row r="589" spans="1:12" s="377" customFormat="1">
      <c r="A589" s="370"/>
      <c r="B589" s="370"/>
      <c r="C589" s="421"/>
      <c r="D589" s="370"/>
      <c r="H589" s="369"/>
      <c r="K589" s="369"/>
      <c r="L589" s="369"/>
    </row>
    <row r="590" spans="1:12" s="377" customFormat="1">
      <c r="A590" s="370"/>
      <c r="B590" s="370"/>
      <c r="C590" s="421"/>
      <c r="D590" s="370"/>
      <c r="H590" s="369"/>
      <c r="K590" s="369"/>
      <c r="L590" s="369"/>
    </row>
    <row r="591" spans="1:12" s="377" customFormat="1">
      <c r="A591" s="370"/>
      <c r="B591" s="370"/>
      <c r="C591" s="421"/>
      <c r="D591" s="370"/>
      <c r="H591" s="369"/>
      <c r="K591" s="369"/>
      <c r="L591" s="369"/>
    </row>
    <row r="592" spans="1:12" s="377" customFormat="1">
      <c r="A592" s="370"/>
      <c r="B592" s="370"/>
      <c r="C592" s="421"/>
      <c r="D592" s="370"/>
      <c r="H592" s="369"/>
      <c r="K592" s="369"/>
      <c r="L592" s="369"/>
    </row>
    <row r="593" spans="1:12" s="377" customFormat="1">
      <c r="A593" s="370"/>
      <c r="B593" s="370"/>
      <c r="C593" s="421"/>
      <c r="D593" s="370"/>
      <c r="H593" s="369"/>
      <c r="K593" s="369"/>
      <c r="L593" s="369"/>
    </row>
    <row r="594" spans="1:12" s="377" customFormat="1">
      <c r="A594" s="370"/>
      <c r="B594" s="370"/>
      <c r="C594" s="421"/>
      <c r="D594" s="370"/>
      <c r="H594" s="369"/>
      <c r="K594" s="369"/>
      <c r="L594" s="369"/>
    </row>
    <row r="595" spans="1:12" s="377" customFormat="1">
      <c r="A595" s="370"/>
      <c r="B595" s="370"/>
      <c r="C595" s="421"/>
      <c r="D595" s="370"/>
      <c r="H595" s="369"/>
      <c r="K595" s="369"/>
      <c r="L595" s="369"/>
    </row>
    <row r="596" spans="1:12" s="377" customFormat="1">
      <c r="A596" s="370"/>
      <c r="B596" s="370"/>
      <c r="C596" s="421"/>
      <c r="D596" s="370"/>
      <c r="H596" s="369"/>
      <c r="K596" s="369"/>
      <c r="L596" s="369"/>
    </row>
    <row r="597" spans="1:12" s="377" customFormat="1">
      <c r="A597" s="370"/>
      <c r="B597" s="370"/>
      <c r="C597" s="421"/>
      <c r="D597" s="370"/>
      <c r="H597" s="369"/>
      <c r="K597" s="369"/>
      <c r="L597" s="369"/>
    </row>
    <row r="598" spans="1:12" s="377" customFormat="1">
      <c r="A598" s="370"/>
      <c r="B598" s="370"/>
      <c r="C598" s="421"/>
      <c r="D598" s="370"/>
      <c r="H598" s="369"/>
      <c r="K598" s="369"/>
      <c r="L598" s="369"/>
    </row>
    <row r="599" spans="1:12" s="377" customFormat="1">
      <c r="A599" s="370"/>
      <c r="B599" s="370"/>
      <c r="C599" s="421"/>
      <c r="D599" s="370"/>
      <c r="H599" s="369"/>
      <c r="K599" s="369"/>
      <c r="L599" s="369"/>
    </row>
    <row r="600" spans="1:12" s="377" customFormat="1">
      <c r="A600" s="370"/>
      <c r="B600" s="370"/>
      <c r="C600" s="421"/>
      <c r="D600" s="370"/>
      <c r="H600" s="369"/>
      <c r="K600" s="369"/>
      <c r="L600" s="369"/>
    </row>
    <row r="601" spans="1:12" s="377" customFormat="1">
      <c r="A601" s="370"/>
      <c r="B601" s="370"/>
      <c r="C601" s="421"/>
      <c r="D601" s="370"/>
      <c r="H601" s="369"/>
      <c r="K601" s="369"/>
      <c r="L601" s="369"/>
    </row>
    <row r="602" spans="1:12" s="377" customFormat="1">
      <c r="A602" s="370"/>
      <c r="B602" s="370"/>
      <c r="C602" s="421"/>
      <c r="D602" s="370"/>
      <c r="H602" s="369"/>
      <c r="K602" s="369"/>
      <c r="L602" s="369"/>
    </row>
    <row r="603" spans="1:12" s="377" customFormat="1">
      <c r="A603" s="370"/>
      <c r="B603" s="370"/>
      <c r="C603" s="421"/>
      <c r="D603" s="370"/>
      <c r="H603" s="369"/>
      <c r="K603" s="369"/>
      <c r="L603" s="369"/>
    </row>
    <row r="604" spans="1:12" s="377" customFormat="1">
      <c r="A604" s="370"/>
      <c r="B604" s="370"/>
      <c r="C604" s="421"/>
      <c r="D604" s="370"/>
      <c r="H604" s="369"/>
      <c r="K604" s="369"/>
      <c r="L604" s="369"/>
    </row>
    <row r="605" spans="1:12" s="377" customFormat="1">
      <c r="A605" s="370"/>
      <c r="B605" s="370"/>
      <c r="C605" s="421"/>
      <c r="D605" s="370"/>
      <c r="H605" s="369"/>
      <c r="K605" s="369"/>
      <c r="L605" s="369"/>
    </row>
    <row r="606" spans="1:12" s="377" customFormat="1">
      <c r="A606" s="370"/>
      <c r="B606" s="370"/>
      <c r="C606" s="421"/>
      <c r="D606" s="370"/>
      <c r="H606" s="369"/>
      <c r="K606" s="369"/>
      <c r="L606" s="369"/>
    </row>
    <row r="607" spans="1:12" s="377" customFormat="1">
      <c r="A607" s="370"/>
      <c r="B607" s="370"/>
      <c r="C607" s="421"/>
      <c r="D607" s="370"/>
      <c r="H607" s="369"/>
      <c r="K607" s="369"/>
      <c r="L607" s="369"/>
    </row>
    <row r="608" spans="1:12" s="377" customFormat="1">
      <c r="A608" s="370"/>
      <c r="B608" s="370"/>
      <c r="C608" s="421"/>
      <c r="D608" s="370"/>
      <c r="H608" s="369"/>
      <c r="K608" s="369"/>
      <c r="L608" s="369"/>
    </row>
    <row r="609" spans="1:12" s="377" customFormat="1">
      <c r="A609" s="370"/>
      <c r="B609" s="370"/>
      <c r="C609" s="421"/>
      <c r="D609" s="370"/>
      <c r="H609" s="369"/>
      <c r="K609" s="369"/>
      <c r="L609" s="369"/>
    </row>
    <row r="610" spans="1:12" s="377" customFormat="1">
      <c r="A610" s="370"/>
      <c r="B610" s="370"/>
      <c r="C610" s="421"/>
      <c r="D610" s="370"/>
      <c r="H610" s="369"/>
      <c r="K610" s="369"/>
      <c r="L610" s="369"/>
    </row>
    <row r="611" spans="1:12" s="377" customFormat="1">
      <c r="A611" s="370"/>
      <c r="B611" s="370"/>
      <c r="C611" s="421"/>
      <c r="D611" s="370"/>
      <c r="H611" s="369"/>
      <c r="K611" s="369"/>
      <c r="L611" s="369"/>
    </row>
    <row r="612" spans="1:12" s="377" customFormat="1">
      <c r="A612" s="370"/>
      <c r="B612" s="370"/>
      <c r="C612" s="421"/>
      <c r="D612" s="370"/>
      <c r="H612" s="369"/>
      <c r="K612" s="369"/>
      <c r="L612" s="369"/>
    </row>
    <row r="613" spans="1:12" s="377" customFormat="1">
      <c r="A613" s="370"/>
      <c r="B613" s="370"/>
      <c r="C613" s="421"/>
      <c r="D613" s="370"/>
      <c r="H613" s="369"/>
      <c r="K613" s="369"/>
      <c r="L613" s="369"/>
    </row>
    <row r="614" spans="1:12" s="377" customFormat="1">
      <c r="A614" s="370"/>
      <c r="B614" s="370"/>
      <c r="C614" s="421"/>
      <c r="D614" s="370"/>
      <c r="H614" s="369"/>
      <c r="K614" s="369"/>
      <c r="L614" s="369"/>
    </row>
    <row r="615" spans="1:12" s="377" customFormat="1">
      <c r="A615" s="370"/>
      <c r="B615" s="370"/>
      <c r="C615" s="421"/>
      <c r="D615" s="370"/>
      <c r="H615" s="369"/>
      <c r="K615" s="369"/>
      <c r="L615" s="369"/>
    </row>
    <row r="616" spans="1:12" s="377" customFormat="1">
      <c r="A616" s="370"/>
      <c r="B616" s="370"/>
      <c r="C616" s="421"/>
      <c r="D616" s="370"/>
      <c r="H616" s="369"/>
      <c r="K616" s="369"/>
      <c r="L616" s="369"/>
    </row>
    <row r="617" spans="1:12" s="377" customFormat="1">
      <c r="A617" s="370"/>
      <c r="B617" s="370"/>
      <c r="C617" s="421"/>
      <c r="D617" s="370"/>
      <c r="H617" s="369"/>
      <c r="K617" s="369"/>
      <c r="L617" s="369"/>
    </row>
    <row r="618" spans="1:12" s="377" customFormat="1">
      <c r="A618" s="370"/>
      <c r="B618" s="370"/>
      <c r="C618" s="421"/>
      <c r="D618" s="370"/>
      <c r="H618" s="369"/>
      <c r="K618" s="369"/>
      <c r="L618" s="369"/>
    </row>
    <row r="619" spans="1:12" s="377" customFormat="1">
      <c r="A619" s="370"/>
      <c r="B619" s="370"/>
      <c r="C619" s="421"/>
      <c r="D619" s="370"/>
      <c r="H619" s="369"/>
      <c r="K619" s="369"/>
      <c r="L619" s="369"/>
    </row>
    <row r="620" spans="1:12" s="377" customFormat="1">
      <c r="A620" s="370"/>
      <c r="B620" s="370"/>
      <c r="C620" s="421"/>
      <c r="D620" s="370"/>
      <c r="H620" s="369"/>
      <c r="K620" s="369"/>
      <c r="L620" s="369"/>
    </row>
    <row r="621" spans="1:12" s="377" customFormat="1">
      <c r="A621" s="370"/>
      <c r="B621" s="370"/>
      <c r="C621" s="421"/>
      <c r="D621" s="370"/>
      <c r="H621" s="369"/>
      <c r="K621" s="369"/>
      <c r="L621" s="369"/>
    </row>
    <row r="622" spans="1:12" s="377" customFormat="1">
      <c r="A622" s="370"/>
      <c r="B622" s="370"/>
      <c r="C622" s="421"/>
      <c r="D622" s="370"/>
      <c r="H622" s="369"/>
      <c r="K622" s="369"/>
      <c r="L622" s="369"/>
    </row>
    <row r="623" spans="1:12" s="377" customFormat="1">
      <c r="A623" s="370"/>
      <c r="B623" s="370"/>
      <c r="C623" s="421"/>
      <c r="D623" s="370"/>
      <c r="H623" s="369"/>
      <c r="K623" s="369"/>
      <c r="L623" s="369"/>
    </row>
    <row r="624" spans="1:12" s="377" customFormat="1">
      <c r="A624" s="370"/>
      <c r="B624" s="370"/>
      <c r="C624" s="421"/>
      <c r="D624" s="370"/>
      <c r="H624" s="369"/>
      <c r="K624" s="369"/>
      <c r="L624" s="369"/>
    </row>
    <row r="625" spans="1:12" s="377" customFormat="1">
      <c r="A625" s="370"/>
      <c r="B625" s="370"/>
      <c r="C625" s="421"/>
      <c r="D625" s="370"/>
      <c r="H625" s="369"/>
      <c r="K625" s="369"/>
      <c r="L625" s="369"/>
    </row>
    <row r="626" spans="1:12" s="377" customFormat="1">
      <c r="A626" s="370"/>
      <c r="B626" s="370"/>
      <c r="C626" s="421"/>
      <c r="D626" s="370"/>
      <c r="H626" s="369"/>
      <c r="K626" s="369"/>
      <c r="L626" s="369"/>
    </row>
    <row r="627" spans="1:12" s="377" customFormat="1">
      <c r="A627" s="370"/>
      <c r="B627" s="370"/>
      <c r="C627" s="421"/>
      <c r="D627" s="370"/>
      <c r="H627" s="369"/>
      <c r="K627" s="369"/>
      <c r="L627" s="369"/>
    </row>
    <row r="628" spans="1:12" s="377" customFormat="1">
      <c r="A628" s="370"/>
      <c r="B628" s="370"/>
      <c r="C628" s="421"/>
      <c r="D628" s="370"/>
      <c r="H628" s="369"/>
      <c r="K628" s="369"/>
      <c r="L628" s="369"/>
    </row>
    <row r="629" spans="1:12" s="377" customFormat="1">
      <c r="A629" s="370"/>
      <c r="B629" s="370"/>
      <c r="C629" s="421"/>
      <c r="D629" s="370"/>
      <c r="H629" s="369"/>
      <c r="K629" s="369"/>
      <c r="L629" s="369"/>
    </row>
    <row r="630" spans="1:12" s="377" customFormat="1">
      <c r="A630" s="370"/>
      <c r="B630" s="370"/>
      <c r="C630" s="421"/>
      <c r="D630" s="370"/>
      <c r="H630" s="369"/>
      <c r="K630" s="369"/>
      <c r="L630" s="369"/>
    </row>
    <row r="631" spans="1:12" s="377" customFormat="1">
      <c r="A631" s="370"/>
      <c r="B631" s="370"/>
      <c r="C631" s="421"/>
      <c r="D631" s="370"/>
      <c r="H631" s="369"/>
      <c r="K631" s="369"/>
      <c r="L631" s="369"/>
    </row>
    <row r="632" spans="1:12" s="377" customFormat="1">
      <c r="A632" s="370"/>
      <c r="B632" s="370"/>
      <c r="C632" s="421"/>
      <c r="D632" s="370"/>
      <c r="H632" s="369"/>
      <c r="K632" s="369"/>
      <c r="L632" s="369"/>
    </row>
    <row r="633" spans="1:12" s="377" customFormat="1">
      <c r="A633" s="370"/>
      <c r="B633" s="370"/>
      <c r="C633" s="421"/>
      <c r="D633" s="370"/>
      <c r="H633" s="369"/>
      <c r="K633" s="369"/>
      <c r="L633" s="369"/>
    </row>
    <row r="634" spans="1:12" s="377" customFormat="1">
      <c r="A634" s="370"/>
      <c r="B634" s="370"/>
      <c r="C634" s="421"/>
      <c r="D634" s="370"/>
      <c r="H634" s="369"/>
      <c r="K634" s="369"/>
      <c r="L634" s="369"/>
    </row>
    <row r="635" spans="1:12" s="377" customFormat="1">
      <c r="A635" s="370"/>
      <c r="B635" s="370"/>
      <c r="C635" s="421"/>
      <c r="D635" s="370"/>
      <c r="H635" s="369"/>
      <c r="K635" s="369"/>
      <c r="L635" s="369"/>
    </row>
    <row r="636" spans="1:12" s="377" customFormat="1">
      <c r="A636" s="370"/>
      <c r="B636" s="370"/>
      <c r="C636" s="421"/>
      <c r="D636" s="370"/>
      <c r="H636" s="369"/>
      <c r="K636" s="369"/>
      <c r="L636" s="369"/>
    </row>
    <row r="637" spans="1:12" s="377" customFormat="1">
      <c r="A637" s="370"/>
      <c r="B637" s="370"/>
      <c r="C637" s="421"/>
      <c r="D637" s="370"/>
      <c r="H637" s="369"/>
      <c r="K637" s="369"/>
      <c r="L637" s="369"/>
    </row>
    <row r="638" spans="1:12" s="377" customFormat="1">
      <c r="A638" s="370"/>
      <c r="B638" s="370"/>
      <c r="C638" s="421"/>
      <c r="D638" s="370"/>
      <c r="H638" s="369"/>
      <c r="K638" s="369"/>
      <c r="L638" s="369"/>
    </row>
    <row r="639" spans="1:12" s="377" customFormat="1">
      <c r="A639" s="370"/>
      <c r="B639" s="370"/>
      <c r="C639" s="421"/>
      <c r="D639" s="370"/>
      <c r="H639" s="369"/>
      <c r="K639" s="369"/>
      <c r="L639" s="369"/>
    </row>
    <row r="640" spans="1:12" s="377" customFormat="1">
      <c r="A640" s="370"/>
      <c r="B640" s="370"/>
      <c r="C640" s="421"/>
      <c r="D640" s="370"/>
      <c r="H640" s="369"/>
      <c r="K640" s="369"/>
      <c r="L640" s="369"/>
    </row>
    <row r="641" spans="1:12" s="377" customFormat="1">
      <c r="A641" s="370"/>
      <c r="B641" s="370"/>
      <c r="C641" s="421"/>
      <c r="D641" s="370"/>
      <c r="H641" s="369"/>
      <c r="K641" s="369"/>
      <c r="L641" s="369"/>
    </row>
    <row r="642" spans="1:12" s="377" customFormat="1">
      <c r="A642" s="370"/>
      <c r="B642" s="370"/>
      <c r="C642" s="421"/>
      <c r="D642" s="370"/>
      <c r="H642" s="369"/>
      <c r="K642" s="369"/>
      <c r="L642" s="369"/>
    </row>
    <row r="643" spans="1:12" s="377" customFormat="1">
      <c r="A643" s="370"/>
      <c r="B643" s="370"/>
      <c r="C643" s="421"/>
      <c r="D643" s="370"/>
      <c r="H643" s="369"/>
      <c r="K643" s="369"/>
      <c r="L643" s="369"/>
    </row>
    <row r="644" spans="1:12" s="377" customFormat="1">
      <c r="A644" s="370"/>
      <c r="B644" s="370"/>
      <c r="C644" s="421"/>
      <c r="D644" s="370"/>
      <c r="H644" s="369"/>
      <c r="K644" s="369"/>
      <c r="L644" s="369"/>
    </row>
    <row r="645" spans="1:12" s="377" customFormat="1">
      <c r="A645" s="370"/>
      <c r="B645" s="370"/>
      <c r="C645" s="421"/>
      <c r="D645" s="370"/>
      <c r="H645" s="369"/>
      <c r="K645" s="369"/>
      <c r="L645" s="369"/>
    </row>
    <row r="646" spans="1:12" s="377" customFormat="1">
      <c r="A646" s="370"/>
      <c r="B646" s="370"/>
      <c r="C646" s="421"/>
      <c r="D646" s="370"/>
      <c r="H646" s="369"/>
      <c r="K646" s="369"/>
      <c r="L646" s="369"/>
    </row>
    <row r="647" spans="1:12" s="377" customFormat="1">
      <c r="A647" s="370"/>
      <c r="B647" s="370"/>
      <c r="C647" s="421"/>
      <c r="D647" s="370"/>
      <c r="H647" s="369"/>
      <c r="K647" s="369"/>
      <c r="L647" s="369"/>
    </row>
    <row r="648" spans="1:12" s="377" customFormat="1">
      <c r="A648" s="370"/>
      <c r="B648" s="370"/>
      <c r="C648" s="421"/>
      <c r="D648" s="370"/>
      <c r="H648" s="369"/>
      <c r="K648" s="369"/>
      <c r="L648" s="369"/>
    </row>
    <row r="649" spans="1:12" s="377" customFormat="1">
      <c r="A649" s="370"/>
      <c r="B649" s="370"/>
      <c r="C649" s="421"/>
      <c r="D649" s="370"/>
      <c r="H649" s="369"/>
      <c r="K649" s="369"/>
      <c r="L649" s="369"/>
    </row>
    <row r="650" spans="1:12" s="377" customFormat="1">
      <c r="A650" s="370"/>
      <c r="B650" s="370"/>
      <c r="C650" s="421"/>
      <c r="D650" s="370"/>
      <c r="H650" s="369"/>
      <c r="K650" s="369"/>
      <c r="L650" s="369"/>
    </row>
    <row r="651" spans="1:12" s="377" customFormat="1">
      <c r="A651" s="370"/>
      <c r="B651" s="370"/>
      <c r="C651" s="421"/>
      <c r="D651" s="370"/>
      <c r="H651" s="369"/>
      <c r="K651" s="369"/>
      <c r="L651" s="369"/>
    </row>
    <row r="652" spans="1:12" s="377" customFormat="1">
      <c r="A652" s="370"/>
      <c r="B652" s="370"/>
      <c r="C652" s="421"/>
      <c r="D652" s="370"/>
      <c r="H652" s="369"/>
      <c r="K652" s="369"/>
      <c r="L652" s="369"/>
    </row>
    <row r="653" spans="1:12" s="377" customFormat="1">
      <c r="A653" s="370"/>
      <c r="B653" s="370"/>
      <c r="C653" s="421"/>
      <c r="D653" s="370"/>
      <c r="H653" s="369"/>
      <c r="K653" s="369"/>
      <c r="L653" s="369"/>
    </row>
    <row r="654" spans="1:12" s="377" customFormat="1">
      <c r="A654" s="370"/>
      <c r="B654" s="370"/>
      <c r="C654" s="421"/>
      <c r="D654" s="370"/>
      <c r="H654" s="369"/>
      <c r="K654" s="369"/>
      <c r="L654" s="369"/>
    </row>
    <row r="655" spans="1:12" s="377" customFormat="1">
      <c r="A655" s="370"/>
      <c r="B655" s="370"/>
      <c r="C655" s="421"/>
      <c r="D655" s="370"/>
      <c r="H655" s="369"/>
      <c r="K655" s="369"/>
      <c r="L655" s="369"/>
    </row>
    <row r="656" spans="1:12" s="377" customFormat="1">
      <c r="A656" s="370"/>
      <c r="B656" s="370"/>
      <c r="C656" s="421"/>
      <c r="D656" s="370"/>
      <c r="H656" s="369"/>
      <c r="K656" s="369"/>
      <c r="L656" s="369"/>
    </row>
    <row r="657" spans="1:12" s="377" customFormat="1">
      <c r="A657" s="370"/>
      <c r="B657" s="370"/>
      <c r="C657" s="421"/>
      <c r="D657" s="370"/>
      <c r="H657" s="369"/>
      <c r="K657" s="369"/>
      <c r="L657" s="369"/>
    </row>
    <row r="658" spans="1:12" s="377" customFormat="1">
      <c r="A658" s="370"/>
      <c r="B658" s="370"/>
      <c r="C658" s="421"/>
      <c r="D658" s="370"/>
      <c r="H658" s="369"/>
      <c r="K658" s="369"/>
      <c r="L658" s="369"/>
    </row>
    <row r="659" spans="1:12" s="377" customFormat="1">
      <c r="A659" s="370"/>
      <c r="B659" s="370"/>
      <c r="C659" s="421"/>
      <c r="D659" s="370"/>
      <c r="H659" s="369"/>
      <c r="K659" s="369"/>
      <c r="L659" s="369"/>
    </row>
    <row r="660" spans="1:12" s="377" customFormat="1">
      <c r="A660" s="370"/>
      <c r="B660" s="370"/>
      <c r="C660" s="421"/>
      <c r="D660" s="370"/>
      <c r="H660" s="369"/>
      <c r="K660" s="369"/>
      <c r="L660" s="369"/>
    </row>
    <row r="661" spans="1:12" s="377" customFormat="1">
      <c r="A661" s="370"/>
      <c r="B661" s="370"/>
      <c r="C661" s="421"/>
      <c r="D661" s="370"/>
      <c r="H661" s="369"/>
      <c r="K661" s="369"/>
      <c r="L661" s="369"/>
    </row>
    <row r="662" spans="1:12" s="377" customFormat="1">
      <c r="A662" s="370"/>
      <c r="B662" s="370"/>
      <c r="C662" s="421"/>
      <c r="D662" s="370"/>
      <c r="H662" s="369"/>
      <c r="K662" s="369"/>
      <c r="L662" s="369"/>
    </row>
    <row r="663" spans="1:12" s="377" customFormat="1">
      <c r="A663" s="370"/>
      <c r="B663" s="370"/>
      <c r="C663" s="421"/>
      <c r="D663" s="370"/>
      <c r="H663" s="369"/>
      <c r="K663" s="369"/>
      <c r="L663" s="369"/>
    </row>
    <row r="664" spans="1:12" s="377" customFormat="1">
      <c r="A664" s="370"/>
      <c r="B664" s="370"/>
      <c r="C664" s="421"/>
      <c r="D664" s="370"/>
      <c r="H664" s="369"/>
      <c r="K664" s="369"/>
      <c r="L664" s="369"/>
    </row>
    <row r="665" spans="1:12" s="377" customFormat="1">
      <c r="A665" s="370"/>
      <c r="B665" s="370"/>
      <c r="C665" s="421"/>
      <c r="D665" s="370"/>
      <c r="H665" s="369"/>
      <c r="K665" s="369"/>
      <c r="L665" s="369"/>
    </row>
    <row r="666" spans="1:12" s="377" customFormat="1">
      <c r="A666" s="370"/>
      <c r="B666" s="370"/>
      <c r="C666" s="421"/>
      <c r="D666" s="370"/>
      <c r="H666" s="369"/>
      <c r="K666" s="369"/>
      <c r="L666" s="369"/>
    </row>
    <row r="667" spans="1:12" s="377" customFormat="1">
      <c r="A667" s="370"/>
      <c r="B667" s="370"/>
      <c r="C667" s="421"/>
      <c r="D667" s="370"/>
      <c r="H667" s="369"/>
      <c r="K667" s="369"/>
      <c r="L667" s="369"/>
    </row>
    <row r="668" spans="1:12" s="377" customFormat="1">
      <c r="A668" s="370"/>
      <c r="B668" s="370"/>
      <c r="C668" s="421"/>
      <c r="D668" s="370"/>
      <c r="H668" s="369"/>
      <c r="K668" s="369"/>
      <c r="L668" s="369"/>
    </row>
    <row r="669" spans="1:12" s="377" customFormat="1">
      <c r="A669" s="370"/>
      <c r="B669" s="370"/>
      <c r="C669" s="421"/>
      <c r="D669" s="370"/>
      <c r="H669" s="369"/>
      <c r="K669" s="369"/>
      <c r="L669" s="369"/>
    </row>
    <row r="670" spans="1:12" s="377" customFormat="1">
      <c r="A670" s="370"/>
      <c r="B670" s="370"/>
      <c r="C670" s="421"/>
      <c r="D670" s="370"/>
      <c r="H670" s="369"/>
      <c r="K670" s="369"/>
      <c r="L670" s="369"/>
    </row>
    <row r="671" spans="1:12" s="377" customFormat="1">
      <c r="A671" s="370"/>
      <c r="B671" s="370"/>
      <c r="C671" s="421"/>
      <c r="D671" s="370"/>
      <c r="H671" s="369"/>
      <c r="K671" s="369"/>
      <c r="L671" s="369"/>
    </row>
    <row r="672" spans="1:12" s="377" customFormat="1">
      <c r="A672" s="370"/>
      <c r="B672" s="370"/>
      <c r="C672" s="421"/>
      <c r="D672" s="370"/>
      <c r="H672" s="369"/>
      <c r="K672" s="369"/>
      <c r="L672" s="369"/>
    </row>
    <row r="673" spans="1:12" s="377" customFormat="1">
      <c r="A673" s="370"/>
      <c r="B673" s="370"/>
      <c r="C673" s="421"/>
      <c r="D673" s="370"/>
      <c r="H673" s="369"/>
      <c r="K673" s="369"/>
      <c r="L673" s="369"/>
    </row>
    <row r="674" spans="1:12" s="377" customFormat="1">
      <c r="A674" s="370"/>
      <c r="B674" s="370"/>
      <c r="C674" s="421"/>
      <c r="D674" s="370"/>
      <c r="H674" s="369"/>
      <c r="K674" s="369"/>
      <c r="L674" s="369"/>
    </row>
    <row r="675" spans="1:12" s="377" customFormat="1">
      <c r="A675" s="370"/>
      <c r="B675" s="370"/>
      <c r="C675" s="421"/>
      <c r="D675" s="370"/>
      <c r="H675" s="369"/>
      <c r="K675" s="369"/>
      <c r="L675" s="369"/>
    </row>
    <row r="676" spans="1:12" s="377" customFormat="1">
      <c r="A676" s="370"/>
      <c r="B676" s="370"/>
      <c r="C676" s="421"/>
      <c r="D676" s="370"/>
      <c r="H676" s="369"/>
      <c r="K676" s="369"/>
      <c r="L676" s="369"/>
    </row>
    <row r="677" spans="1:12" s="377" customFormat="1">
      <c r="A677" s="370"/>
      <c r="B677" s="370"/>
      <c r="C677" s="421"/>
      <c r="D677" s="370"/>
      <c r="H677" s="369"/>
      <c r="K677" s="369"/>
      <c r="L677" s="369"/>
    </row>
    <row r="678" spans="1:12" s="377" customFormat="1">
      <c r="A678" s="370"/>
      <c r="B678" s="370"/>
      <c r="C678" s="421"/>
      <c r="D678" s="370"/>
      <c r="H678" s="369"/>
      <c r="K678" s="369"/>
      <c r="L678" s="369"/>
    </row>
    <row r="679" spans="1:12" s="377" customFormat="1">
      <c r="A679" s="370"/>
      <c r="B679" s="370"/>
      <c r="C679" s="421"/>
      <c r="D679" s="370"/>
      <c r="H679" s="369"/>
      <c r="K679" s="369"/>
      <c r="L679" s="369"/>
    </row>
    <row r="680" spans="1:12" s="377" customFormat="1">
      <c r="A680" s="370"/>
      <c r="B680" s="370"/>
      <c r="C680" s="421"/>
      <c r="D680" s="370"/>
      <c r="H680" s="369"/>
      <c r="K680" s="369"/>
      <c r="L680" s="369"/>
    </row>
    <row r="681" spans="1:12" s="377" customFormat="1">
      <c r="A681" s="370"/>
      <c r="B681" s="370"/>
      <c r="C681" s="421"/>
      <c r="D681" s="370"/>
      <c r="H681" s="369"/>
      <c r="K681" s="369"/>
      <c r="L681" s="369"/>
    </row>
    <row r="682" spans="1:12" s="377" customFormat="1">
      <c r="A682" s="370"/>
      <c r="B682" s="370"/>
      <c r="C682" s="421"/>
      <c r="D682" s="370"/>
      <c r="H682" s="369"/>
      <c r="K682" s="369"/>
      <c r="L682" s="369"/>
    </row>
    <row r="683" spans="1:12" s="377" customFormat="1">
      <c r="A683" s="370"/>
      <c r="B683" s="370"/>
      <c r="C683" s="421"/>
      <c r="D683" s="370"/>
      <c r="H683" s="369"/>
      <c r="K683" s="369"/>
      <c r="L683" s="369"/>
    </row>
    <row r="684" spans="1:12" s="377" customFormat="1">
      <c r="A684" s="370"/>
      <c r="B684" s="370"/>
      <c r="C684" s="421"/>
      <c r="D684" s="370"/>
      <c r="H684" s="369"/>
      <c r="K684" s="369"/>
      <c r="L684" s="369"/>
    </row>
    <row r="685" spans="1:12" s="377" customFormat="1">
      <c r="A685" s="370"/>
      <c r="B685" s="370"/>
      <c r="C685" s="421"/>
      <c r="D685" s="370"/>
      <c r="H685" s="369"/>
      <c r="K685" s="369"/>
      <c r="L685" s="369"/>
    </row>
    <row r="686" spans="1:12" s="377" customFormat="1">
      <c r="A686" s="370"/>
      <c r="B686" s="370"/>
      <c r="C686" s="421"/>
      <c r="D686" s="370"/>
      <c r="H686" s="369"/>
      <c r="K686" s="369"/>
      <c r="L686" s="369"/>
    </row>
    <row r="687" spans="1:12" s="377" customFormat="1">
      <c r="A687" s="370"/>
      <c r="B687" s="370"/>
      <c r="C687" s="421"/>
      <c r="D687" s="370"/>
      <c r="H687" s="369"/>
      <c r="K687" s="369"/>
      <c r="L687" s="369"/>
    </row>
    <row r="688" spans="1:12" s="377" customFormat="1">
      <c r="A688" s="370"/>
      <c r="B688" s="370"/>
      <c r="C688" s="421"/>
      <c r="D688" s="370"/>
      <c r="H688" s="369"/>
      <c r="K688" s="369"/>
      <c r="L688" s="369"/>
    </row>
    <row r="689" spans="1:12" s="377" customFormat="1">
      <c r="A689" s="370"/>
      <c r="B689" s="370"/>
      <c r="C689" s="421"/>
      <c r="D689" s="370"/>
      <c r="H689" s="369"/>
      <c r="K689" s="369"/>
      <c r="L689" s="369"/>
    </row>
    <row r="690" spans="1:12" s="377" customFormat="1">
      <c r="A690" s="370"/>
      <c r="B690" s="370"/>
      <c r="C690" s="421"/>
      <c r="D690" s="370"/>
      <c r="H690" s="369"/>
      <c r="K690" s="369"/>
      <c r="L690" s="369"/>
    </row>
    <row r="691" spans="1:12" s="377" customFormat="1">
      <c r="A691" s="370"/>
      <c r="B691" s="370"/>
      <c r="C691" s="421"/>
      <c r="D691" s="370"/>
      <c r="H691" s="369"/>
      <c r="K691" s="369"/>
      <c r="L691" s="369"/>
    </row>
    <row r="692" spans="1:12" s="377" customFormat="1">
      <c r="A692" s="370"/>
      <c r="B692" s="370"/>
      <c r="C692" s="421"/>
      <c r="D692" s="370"/>
      <c r="H692" s="369"/>
      <c r="K692" s="369"/>
      <c r="L692" s="369"/>
    </row>
    <row r="693" spans="1:12" s="377" customFormat="1">
      <c r="A693" s="370"/>
      <c r="B693" s="370"/>
      <c r="C693" s="421"/>
      <c r="D693" s="370"/>
      <c r="H693" s="369"/>
      <c r="K693" s="369"/>
      <c r="L693" s="369"/>
    </row>
    <row r="694" spans="1:12" s="377" customFormat="1">
      <c r="A694" s="370"/>
      <c r="B694" s="370"/>
      <c r="C694" s="421"/>
      <c r="D694" s="370"/>
      <c r="H694" s="369"/>
      <c r="K694" s="369"/>
      <c r="L694" s="369"/>
    </row>
    <row r="695" spans="1:12" s="377" customFormat="1">
      <c r="A695" s="370"/>
      <c r="B695" s="370"/>
      <c r="C695" s="421"/>
      <c r="D695" s="370"/>
      <c r="H695" s="369"/>
      <c r="K695" s="369"/>
      <c r="L695" s="369"/>
    </row>
    <row r="696" spans="1:12" s="377" customFormat="1">
      <c r="A696" s="370"/>
      <c r="B696" s="370"/>
      <c r="C696" s="421"/>
      <c r="D696" s="370"/>
      <c r="H696" s="369"/>
      <c r="K696" s="369"/>
      <c r="L696" s="369"/>
    </row>
    <row r="697" spans="1:12" s="377" customFormat="1">
      <c r="A697" s="370"/>
      <c r="B697" s="370"/>
      <c r="C697" s="421"/>
      <c r="D697" s="370"/>
      <c r="H697" s="369"/>
      <c r="K697" s="369"/>
      <c r="L697" s="369"/>
    </row>
    <row r="698" spans="1:12" s="377" customFormat="1">
      <c r="A698" s="370"/>
      <c r="B698" s="370"/>
      <c r="C698" s="421"/>
      <c r="D698" s="370"/>
      <c r="H698" s="369"/>
      <c r="K698" s="369"/>
      <c r="L698" s="369"/>
    </row>
    <row r="699" spans="1:12" s="377" customFormat="1">
      <c r="A699" s="370"/>
      <c r="B699" s="370"/>
      <c r="C699" s="421"/>
      <c r="D699" s="370"/>
      <c r="H699" s="369"/>
      <c r="K699" s="369"/>
      <c r="L699" s="369"/>
    </row>
    <row r="700" spans="1:12" s="377" customFormat="1">
      <c r="A700" s="370"/>
      <c r="B700" s="370"/>
      <c r="C700" s="421"/>
      <c r="D700" s="370"/>
      <c r="H700" s="369"/>
      <c r="K700" s="369"/>
      <c r="L700" s="369"/>
    </row>
    <row r="701" spans="1:12" s="377" customFormat="1">
      <c r="A701" s="370"/>
      <c r="B701" s="370"/>
      <c r="C701" s="421"/>
      <c r="D701" s="370"/>
      <c r="H701" s="369"/>
      <c r="K701" s="369"/>
      <c r="L701" s="369"/>
    </row>
    <row r="702" spans="1:12" s="377" customFormat="1">
      <c r="A702" s="370"/>
      <c r="B702" s="370"/>
      <c r="C702" s="421"/>
      <c r="D702" s="370"/>
      <c r="H702" s="369"/>
      <c r="K702" s="369"/>
      <c r="L702" s="369"/>
    </row>
    <row r="703" spans="1:12" s="377" customFormat="1">
      <c r="A703" s="370"/>
      <c r="B703" s="370"/>
      <c r="C703" s="421"/>
      <c r="D703" s="370"/>
      <c r="H703" s="369"/>
      <c r="K703" s="369"/>
      <c r="L703" s="369"/>
    </row>
    <row r="704" spans="1:12" s="377" customFormat="1">
      <c r="A704" s="370"/>
      <c r="B704" s="370"/>
      <c r="C704" s="421"/>
      <c r="D704" s="370"/>
      <c r="H704" s="369"/>
      <c r="K704" s="369"/>
      <c r="L704" s="369"/>
    </row>
    <row r="705" spans="1:12" s="377" customFormat="1">
      <c r="A705" s="370"/>
      <c r="B705" s="370"/>
      <c r="C705" s="421"/>
      <c r="D705" s="370"/>
      <c r="H705" s="369"/>
      <c r="K705" s="369"/>
      <c r="L705" s="369"/>
    </row>
    <row r="706" spans="1:12" s="377" customFormat="1">
      <c r="A706" s="370"/>
      <c r="B706" s="370"/>
      <c r="C706" s="421"/>
      <c r="D706" s="370"/>
      <c r="H706" s="369"/>
      <c r="K706" s="369"/>
      <c r="L706" s="369"/>
    </row>
    <row r="707" spans="1:12" s="377" customFormat="1">
      <c r="A707" s="370"/>
      <c r="B707" s="370"/>
      <c r="C707" s="421"/>
      <c r="D707" s="370"/>
      <c r="H707" s="369"/>
      <c r="K707" s="369"/>
      <c r="L707" s="369"/>
    </row>
    <row r="708" spans="1:12" s="377" customFormat="1">
      <c r="A708" s="370"/>
      <c r="B708" s="370"/>
      <c r="C708" s="421"/>
      <c r="D708" s="370"/>
      <c r="H708" s="369"/>
      <c r="K708" s="369"/>
      <c r="L708" s="369"/>
    </row>
    <row r="709" spans="1:12" s="377" customFormat="1">
      <c r="A709" s="370"/>
      <c r="B709" s="370"/>
      <c r="C709" s="421"/>
      <c r="D709" s="370"/>
      <c r="H709" s="369"/>
      <c r="K709" s="369"/>
      <c r="L709" s="369"/>
    </row>
    <row r="710" spans="1:12" s="377" customFormat="1">
      <c r="A710" s="370"/>
      <c r="B710" s="370"/>
      <c r="C710" s="421"/>
      <c r="D710" s="370"/>
      <c r="H710" s="369"/>
      <c r="K710" s="369"/>
      <c r="L710" s="369"/>
    </row>
    <row r="711" spans="1:12" s="377" customFormat="1">
      <c r="A711" s="370"/>
      <c r="B711" s="370"/>
      <c r="C711" s="421"/>
      <c r="D711" s="370"/>
      <c r="H711" s="369"/>
      <c r="K711" s="369"/>
      <c r="L711" s="369"/>
    </row>
    <row r="712" spans="1:12" s="377" customFormat="1">
      <c r="A712" s="370"/>
      <c r="B712" s="370"/>
      <c r="C712" s="421"/>
      <c r="D712" s="370"/>
      <c r="H712" s="369"/>
      <c r="K712" s="369"/>
      <c r="L712" s="369"/>
    </row>
    <row r="713" spans="1:12" s="377" customFormat="1">
      <c r="A713" s="370"/>
      <c r="B713" s="370"/>
      <c r="C713" s="421"/>
      <c r="D713" s="370"/>
      <c r="H713" s="369"/>
      <c r="K713" s="369"/>
      <c r="L713" s="369"/>
    </row>
    <row r="714" spans="1:12" s="377" customFormat="1">
      <c r="A714" s="370"/>
      <c r="B714" s="370"/>
      <c r="C714" s="421"/>
      <c r="D714" s="370"/>
      <c r="H714" s="369"/>
      <c r="K714" s="369"/>
      <c r="L714" s="369"/>
    </row>
    <row r="715" spans="1:12" s="377" customFormat="1">
      <c r="A715" s="370"/>
      <c r="B715" s="370"/>
      <c r="C715" s="421"/>
      <c r="D715" s="370"/>
      <c r="H715" s="369"/>
      <c r="K715" s="369"/>
      <c r="L715" s="369"/>
    </row>
    <row r="716" spans="1:12" s="377" customFormat="1">
      <c r="A716" s="370"/>
      <c r="B716" s="370"/>
      <c r="C716" s="421"/>
      <c r="D716" s="370"/>
      <c r="H716" s="369"/>
      <c r="K716" s="369"/>
      <c r="L716" s="369"/>
    </row>
    <row r="717" spans="1:12" s="377" customFormat="1">
      <c r="A717" s="370"/>
      <c r="B717" s="370"/>
      <c r="C717" s="421"/>
      <c r="D717" s="370"/>
      <c r="H717" s="369"/>
      <c r="K717" s="369"/>
      <c r="L717" s="369"/>
    </row>
    <row r="718" spans="1:12" s="377" customFormat="1">
      <c r="A718" s="370"/>
      <c r="B718" s="370"/>
      <c r="C718" s="421"/>
      <c r="D718" s="370"/>
      <c r="H718" s="369"/>
      <c r="K718" s="369"/>
      <c r="L718" s="369"/>
    </row>
    <row r="719" spans="1:12" s="377" customFormat="1">
      <c r="A719" s="370"/>
      <c r="B719" s="370"/>
      <c r="C719" s="421"/>
      <c r="D719" s="370"/>
      <c r="H719" s="369"/>
      <c r="K719" s="369"/>
      <c r="L719" s="369"/>
    </row>
    <row r="720" spans="1:12" s="377" customFormat="1">
      <c r="A720" s="370"/>
      <c r="B720" s="370"/>
      <c r="C720" s="421"/>
      <c r="D720" s="370"/>
      <c r="H720" s="369"/>
      <c r="K720" s="369"/>
      <c r="L720" s="369"/>
    </row>
    <row r="721" spans="1:12" s="377" customFormat="1">
      <c r="A721" s="370"/>
      <c r="B721" s="370"/>
      <c r="C721" s="421"/>
      <c r="D721" s="370"/>
      <c r="H721" s="369"/>
      <c r="K721" s="369"/>
      <c r="L721" s="369"/>
    </row>
    <row r="722" spans="1:12" s="377" customFormat="1">
      <c r="A722" s="370"/>
      <c r="B722" s="370"/>
      <c r="C722" s="421"/>
      <c r="D722" s="370"/>
      <c r="H722" s="369"/>
      <c r="K722" s="369"/>
      <c r="L722" s="369"/>
    </row>
    <row r="723" spans="1:12" s="377" customFormat="1">
      <c r="A723" s="370"/>
      <c r="B723" s="370"/>
      <c r="C723" s="421"/>
      <c r="D723" s="370"/>
      <c r="H723" s="369"/>
      <c r="K723" s="369"/>
      <c r="L723" s="369"/>
    </row>
    <row r="724" spans="1:12" s="377" customFormat="1">
      <c r="A724" s="370"/>
      <c r="B724" s="370"/>
      <c r="C724" s="421"/>
      <c r="D724" s="370"/>
      <c r="H724" s="369"/>
      <c r="K724" s="369"/>
      <c r="L724" s="369"/>
    </row>
    <row r="725" spans="1:12" s="377" customFormat="1">
      <c r="A725" s="370"/>
      <c r="B725" s="370"/>
      <c r="C725" s="421"/>
      <c r="D725" s="370"/>
      <c r="H725" s="369"/>
      <c r="K725" s="369"/>
      <c r="L725" s="369"/>
    </row>
    <row r="726" spans="1:12" s="377" customFormat="1">
      <c r="A726" s="370"/>
      <c r="B726" s="370"/>
      <c r="C726" s="421"/>
      <c r="D726" s="370"/>
      <c r="H726" s="369"/>
      <c r="K726" s="369"/>
      <c r="L726" s="369"/>
    </row>
    <row r="727" spans="1:12" s="377" customFormat="1">
      <c r="A727" s="370"/>
      <c r="B727" s="370"/>
      <c r="C727" s="421"/>
      <c r="D727" s="370"/>
      <c r="H727" s="369"/>
      <c r="K727" s="369"/>
      <c r="L727" s="369"/>
    </row>
    <row r="728" spans="1:12" s="377" customFormat="1">
      <c r="A728" s="370"/>
      <c r="B728" s="370"/>
      <c r="C728" s="421"/>
      <c r="D728" s="370"/>
      <c r="H728" s="369"/>
      <c r="K728" s="369"/>
      <c r="L728" s="369"/>
    </row>
    <row r="729" spans="1:12" s="377" customFormat="1">
      <c r="A729" s="370"/>
      <c r="B729" s="370"/>
      <c r="C729" s="421"/>
      <c r="D729" s="370"/>
      <c r="H729" s="369"/>
      <c r="K729" s="369"/>
      <c r="L729" s="369"/>
    </row>
    <row r="730" spans="1:12" s="377" customFormat="1">
      <c r="A730" s="370"/>
      <c r="B730" s="370"/>
      <c r="C730" s="421"/>
      <c r="D730" s="370"/>
      <c r="H730" s="369"/>
      <c r="K730" s="369"/>
      <c r="L730" s="369"/>
    </row>
    <row r="731" spans="1:12" s="377" customFormat="1">
      <c r="A731" s="370"/>
      <c r="B731" s="370"/>
      <c r="C731" s="421"/>
      <c r="D731" s="370"/>
      <c r="H731" s="369"/>
      <c r="K731" s="369"/>
      <c r="L731" s="369"/>
    </row>
    <row r="732" spans="1:12" s="377" customFormat="1">
      <c r="A732" s="370"/>
      <c r="B732" s="370"/>
      <c r="C732" s="421"/>
      <c r="D732" s="370"/>
      <c r="H732" s="369"/>
      <c r="K732" s="369"/>
      <c r="L732" s="369"/>
    </row>
    <row r="733" spans="1:12" s="377" customFormat="1">
      <c r="A733" s="370"/>
      <c r="B733" s="370"/>
      <c r="C733" s="421"/>
      <c r="D733" s="370"/>
      <c r="H733" s="369"/>
      <c r="K733" s="369"/>
      <c r="L733" s="369"/>
    </row>
    <row r="734" spans="1:12" s="377" customFormat="1">
      <c r="A734" s="370"/>
      <c r="B734" s="370"/>
      <c r="C734" s="421"/>
      <c r="D734" s="370"/>
      <c r="H734" s="369"/>
      <c r="K734" s="369"/>
      <c r="L734" s="369"/>
    </row>
    <row r="735" spans="1:12" s="377" customFormat="1">
      <c r="A735" s="370"/>
      <c r="B735" s="370"/>
      <c r="C735" s="421"/>
      <c r="D735" s="370"/>
      <c r="H735" s="369"/>
      <c r="K735" s="369"/>
      <c r="L735" s="369"/>
    </row>
    <row r="736" spans="1:12" s="377" customFormat="1">
      <c r="A736" s="370"/>
      <c r="B736" s="370"/>
      <c r="C736" s="421"/>
      <c r="D736" s="370"/>
      <c r="H736" s="369"/>
      <c r="K736" s="369"/>
      <c r="L736" s="369"/>
    </row>
    <row r="737" spans="1:12" s="377" customFormat="1">
      <c r="A737" s="370"/>
      <c r="B737" s="370"/>
      <c r="C737" s="421"/>
      <c r="D737" s="370"/>
      <c r="H737" s="369"/>
      <c r="K737" s="369"/>
      <c r="L737" s="369"/>
    </row>
    <row r="738" spans="1:12" s="377" customFormat="1">
      <c r="A738" s="370"/>
      <c r="B738" s="370"/>
      <c r="C738" s="421"/>
      <c r="D738" s="370"/>
      <c r="H738" s="369"/>
      <c r="K738" s="369"/>
      <c r="L738" s="369"/>
    </row>
    <row r="739" spans="1:12" s="377" customFormat="1">
      <c r="A739" s="370"/>
      <c r="B739" s="370"/>
      <c r="C739" s="421"/>
      <c r="D739" s="370"/>
      <c r="H739" s="369"/>
      <c r="K739" s="369"/>
      <c r="L739" s="369"/>
    </row>
    <row r="740" spans="1:12" s="377" customFormat="1">
      <c r="A740" s="370"/>
      <c r="B740" s="370"/>
      <c r="C740" s="421"/>
      <c r="D740" s="370"/>
      <c r="H740" s="369"/>
      <c r="K740" s="369"/>
      <c r="L740" s="369"/>
    </row>
    <row r="741" spans="1:12" s="377" customFormat="1">
      <c r="A741" s="370"/>
      <c r="B741" s="370"/>
      <c r="C741" s="421"/>
      <c r="D741" s="370"/>
      <c r="H741" s="369"/>
      <c r="K741" s="369"/>
      <c r="L741" s="369"/>
    </row>
    <row r="742" spans="1:12" s="377" customFormat="1">
      <c r="A742" s="370"/>
      <c r="B742" s="370"/>
      <c r="C742" s="421"/>
      <c r="D742" s="370"/>
      <c r="H742" s="369"/>
      <c r="K742" s="369"/>
      <c r="L742" s="369"/>
    </row>
    <row r="743" spans="1:12" s="377" customFormat="1">
      <c r="A743" s="370"/>
      <c r="B743" s="370"/>
      <c r="C743" s="421"/>
      <c r="D743" s="370"/>
      <c r="H743" s="369"/>
      <c r="K743" s="369"/>
      <c r="L743" s="369"/>
    </row>
    <row r="744" spans="1:12" s="377" customFormat="1">
      <c r="A744" s="370"/>
      <c r="B744" s="370"/>
      <c r="C744" s="421"/>
      <c r="D744" s="370"/>
      <c r="H744" s="369"/>
      <c r="K744" s="369"/>
      <c r="L744" s="369"/>
    </row>
    <row r="745" spans="1:12" s="377" customFormat="1">
      <c r="A745" s="370"/>
      <c r="B745" s="370"/>
      <c r="C745" s="421"/>
      <c r="D745" s="370"/>
      <c r="H745" s="369"/>
      <c r="K745" s="369"/>
      <c r="L745" s="369"/>
    </row>
    <row r="746" spans="1:12" s="377" customFormat="1">
      <c r="A746" s="370"/>
      <c r="B746" s="370"/>
      <c r="C746" s="421"/>
      <c r="D746" s="370"/>
      <c r="H746" s="369"/>
      <c r="K746" s="369"/>
      <c r="L746" s="369"/>
    </row>
    <row r="747" spans="1:12" s="377" customFormat="1">
      <c r="A747" s="370"/>
      <c r="B747" s="370"/>
      <c r="C747" s="421"/>
      <c r="D747" s="370"/>
      <c r="H747" s="369"/>
      <c r="K747" s="369"/>
      <c r="L747" s="369"/>
    </row>
    <row r="748" spans="1:12" s="377" customFormat="1">
      <c r="A748" s="370"/>
      <c r="B748" s="370"/>
      <c r="C748" s="421"/>
      <c r="D748" s="370"/>
      <c r="H748" s="369"/>
      <c r="K748" s="369"/>
      <c r="L748" s="369"/>
    </row>
    <row r="749" spans="1:12" s="377" customFormat="1">
      <c r="A749" s="370"/>
      <c r="B749" s="370"/>
      <c r="C749" s="421"/>
      <c r="D749" s="370"/>
      <c r="H749" s="369"/>
      <c r="K749" s="369"/>
      <c r="L749" s="369"/>
    </row>
    <row r="750" spans="1:12" s="377" customFormat="1">
      <c r="A750" s="370"/>
      <c r="B750" s="370"/>
      <c r="C750" s="421"/>
      <c r="D750" s="370"/>
      <c r="H750" s="369"/>
      <c r="K750" s="369"/>
      <c r="L750" s="369"/>
    </row>
    <row r="751" spans="1:12" s="377" customFormat="1">
      <c r="A751" s="370"/>
      <c r="B751" s="370"/>
      <c r="C751" s="421"/>
      <c r="D751" s="370"/>
      <c r="H751" s="369"/>
      <c r="K751" s="369"/>
      <c r="L751" s="369"/>
    </row>
    <row r="752" spans="1:12" s="377" customFormat="1">
      <c r="A752" s="370"/>
      <c r="B752" s="370"/>
      <c r="C752" s="421"/>
      <c r="D752" s="370"/>
      <c r="H752" s="369"/>
      <c r="K752" s="369"/>
      <c r="L752" s="369"/>
    </row>
    <row r="753" spans="1:12" s="377" customFormat="1">
      <c r="A753" s="370"/>
      <c r="B753" s="370"/>
      <c r="C753" s="421"/>
      <c r="D753" s="370"/>
      <c r="H753" s="369"/>
      <c r="K753" s="369"/>
      <c r="L753" s="369"/>
    </row>
    <row r="754" spans="1:12" s="377" customFormat="1">
      <c r="A754" s="370"/>
      <c r="B754" s="370"/>
      <c r="C754" s="421"/>
      <c r="D754" s="370"/>
      <c r="H754" s="369"/>
      <c r="K754" s="369"/>
      <c r="L754" s="369"/>
    </row>
    <row r="755" spans="1:12" s="377" customFormat="1">
      <c r="A755" s="370"/>
      <c r="B755" s="370"/>
      <c r="C755" s="421"/>
      <c r="D755" s="370"/>
      <c r="H755" s="369"/>
      <c r="K755" s="369"/>
      <c r="L755" s="369"/>
    </row>
    <row r="756" spans="1:12" s="377" customFormat="1">
      <c r="A756" s="370"/>
      <c r="B756" s="370"/>
      <c r="C756" s="421"/>
      <c r="D756" s="370"/>
      <c r="H756" s="369"/>
      <c r="K756" s="369"/>
      <c r="L756" s="369"/>
    </row>
    <row r="757" spans="1:12" s="377" customFormat="1">
      <c r="A757" s="370"/>
      <c r="B757" s="370"/>
      <c r="C757" s="421"/>
      <c r="D757" s="370"/>
      <c r="H757" s="369"/>
      <c r="K757" s="369"/>
      <c r="L757" s="369"/>
    </row>
    <row r="758" spans="1:12" s="377" customFormat="1">
      <c r="A758" s="370"/>
      <c r="B758" s="370"/>
      <c r="C758" s="421"/>
      <c r="D758" s="370"/>
      <c r="H758" s="369"/>
      <c r="K758" s="369"/>
      <c r="L758" s="369"/>
    </row>
    <row r="759" spans="1:12" s="377" customFormat="1">
      <c r="A759" s="370"/>
      <c r="B759" s="370"/>
      <c r="C759" s="421"/>
      <c r="D759" s="370"/>
      <c r="H759" s="369"/>
      <c r="K759" s="369"/>
      <c r="L759" s="369"/>
    </row>
    <row r="760" spans="1:12" s="377" customFormat="1">
      <c r="A760" s="370"/>
      <c r="B760" s="370"/>
      <c r="C760" s="421"/>
      <c r="D760" s="370"/>
      <c r="H760" s="369"/>
      <c r="K760" s="369"/>
      <c r="L760" s="369"/>
    </row>
    <row r="761" spans="1:12" s="377" customFormat="1">
      <c r="A761" s="370"/>
      <c r="B761" s="370"/>
      <c r="C761" s="421"/>
      <c r="D761" s="370"/>
      <c r="H761" s="369"/>
      <c r="K761" s="369"/>
      <c r="L761" s="369"/>
    </row>
    <row r="762" spans="1:12" s="377" customFormat="1">
      <c r="A762" s="370"/>
      <c r="B762" s="370"/>
      <c r="C762" s="421"/>
      <c r="D762" s="370"/>
      <c r="H762" s="369"/>
      <c r="K762" s="369"/>
      <c r="L762" s="369"/>
    </row>
    <row r="763" spans="1:12" s="377" customFormat="1">
      <c r="A763" s="370"/>
      <c r="B763" s="370"/>
      <c r="C763" s="421"/>
      <c r="D763" s="370"/>
      <c r="H763" s="369"/>
      <c r="K763" s="369"/>
      <c r="L763" s="369"/>
    </row>
    <row r="764" spans="1:12" s="377" customFormat="1">
      <c r="A764" s="370"/>
      <c r="B764" s="370"/>
      <c r="C764" s="421"/>
      <c r="D764" s="370"/>
      <c r="H764" s="369"/>
      <c r="K764" s="369"/>
      <c r="L764" s="369"/>
    </row>
    <row r="765" spans="1:12" s="377" customFormat="1">
      <c r="A765" s="370"/>
      <c r="B765" s="370"/>
      <c r="C765" s="421"/>
      <c r="D765" s="370"/>
      <c r="H765" s="369"/>
      <c r="K765" s="369"/>
      <c r="L765" s="369"/>
    </row>
    <row r="766" spans="1:12" s="377" customFormat="1">
      <c r="A766" s="370"/>
      <c r="B766" s="370"/>
      <c r="C766" s="421"/>
      <c r="D766" s="370"/>
      <c r="H766" s="369"/>
      <c r="K766" s="369"/>
      <c r="L766" s="369"/>
    </row>
    <row r="767" spans="1:12" s="377" customFormat="1">
      <c r="A767" s="370"/>
      <c r="B767" s="370"/>
      <c r="C767" s="421"/>
      <c r="D767" s="370"/>
      <c r="H767" s="369"/>
      <c r="K767" s="369"/>
      <c r="L767" s="369"/>
    </row>
    <row r="768" spans="1:12" s="377" customFormat="1">
      <c r="A768" s="370"/>
      <c r="B768" s="370"/>
      <c r="C768" s="421"/>
      <c r="D768" s="370"/>
      <c r="H768" s="369"/>
      <c r="K768" s="369"/>
      <c r="L768" s="369"/>
    </row>
    <row r="769" spans="1:12" s="377" customFormat="1">
      <c r="A769" s="370"/>
      <c r="B769" s="370"/>
      <c r="C769" s="421"/>
      <c r="D769" s="370"/>
      <c r="H769" s="369"/>
      <c r="K769" s="369"/>
      <c r="L769" s="369"/>
    </row>
    <row r="770" spans="1:12" s="377" customFormat="1">
      <c r="A770" s="370"/>
      <c r="B770" s="370"/>
      <c r="C770" s="421"/>
      <c r="D770" s="370"/>
      <c r="H770" s="369"/>
      <c r="K770" s="369"/>
      <c r="L770" s="369"/>
    </row>
    <row r="771" spans="1:12" s="377" customFormat="1">
      <c r="A771" s="370"/>
      <c r="B771" s="370"/>
      <c r="C771" s="421"/>
      <c r="D771" s="370"/>
      <c r="H771" s="369"/>
      <c r="K771" s="369"/>
      <c r="L771" s="369"/>
    </row>
    <row r="772" spans="1:12" s="377" customFormat="1">
      <c r="A772" s="370"/>
      <c r="B772" s="370"/>
      <c r="C772" s="421"/>
      <c r="D772" s="370"/>
      <c r="H772" s="369"/>
      <c r="K772" s="369"/>
      <c r="L772" s="369"/>
    </row>
    <row r="773" spans="1:12" s="377" customFormat="1">
      <c r="A773" s="370"/>
      <c r="B773" s="370"/>
      <c r="C773" s="421"/>
      <c r="D773" s="370"/>
      <c r="H773" s="369"/>
      <c r="K773" s="369"/>
      <c r="L773" s="369"/>
    </row>
    <row r="774" spans="1:12" s="377" customFormat="1">
      <c r="A774" s="370"/>
      <c r="B774" s="370"/>
      <c r="C774" s="421"/>
      <c r="D774" s="370"/>
      <c r="H774" s="369"/>
      <c r="K774" s="369"/>
      <c r="L774" s="369"/>
    </row>
    <row r="775" spans="1:12" s="377" customFormat="1">
      <c r="A775" s="370"/>
      <c r="B775" s="370"/>
      <c r="C775" s="421"/>
      <c r="D775" s="370"/>
      <c r="H775" s="369"/>
      <c r="K775" s="369"/>
      <c r="L775" s="369"/>
    </row>
    <row r="776" spans="1:12" s="377" customFormat="1">
      <c r="A776" s="370"/>
      <c r="B776" s="370"/>
      <c r="C776" s="421"/>
      <c r="D776" s="370"/>
      <c r="H776" s="369"/>
      <c r="K776" s="369"/>
      <c r="L776" s="369"/>
    </row>
    <row r="777" spans="1:12" s="377" customFormat="1">
      <c r="A777" s="370"/>
      <c r="B777" s="370"/>
      <c r="C777" s="421"/>
      <c r="D777" s="370"/>
      <c r="H777" s="369"/>
      <c r="K777" s="369"/>
      <c r="L777" s="369"/>
    </row>
    <row r="778" spans="1:12" s="377" customFormat="1">
      <c r="A778" s="370"/>
      <c r="B778" s="370"/>
      <c r="C778" s="421"/>
      <c r="D778" s="370"/>
      <c r="H778" s="369"/>
      <c r="K778" s="369"/>
      <c r="L778" s="369"/>
    </row>
    <row r="779" spans="1:12" s="377" customFormat="1">
      <c r="A779" s="370"/>
      <c r="B779" s="370"/>
      <c r="C779" s="421"/>
      <c r="D779" s="370"/>
      <c r="H779" s="369"/>
      <c r="K779" s="369"/>
      <c r="L779" s="369"/>
    </row>
    <row r="780" spans="1:12" s="377" customFormat="1">
      <c r="A780" s="370"/>
      <c r="B780" s="370"/>
      <c r="C780" s="421"/>
      <c r="D780" s="370"/>
      <c r="H780" s="369"/>
      <c r="K780" s="369"/>
      <c r="L780" s="369"/>
    </row>
    <row r="781" spans="1:12" s="377" customFormat="1">
      <c r="A781" s="370"/>
      <c r="B781" s="370"/>
      <c r="C781" s="421"/>
      <c r="D781" s="370"/>
      <c r="H781" s="369"/>
      <c r="K781" s="369"/>
      <c r="L781" s="369"/>
    </row>
    <row r="782" spans="1:12" s="377" customFormat="1">
      <c r="A782" s="370"/>
      <c r="B782" s="370"/>
      <c r="C782" s="421"/>
      <c r="D782" s="370"/>
      <c r="H782" s="369"/>
      <c r="K782" s="369"/>
      <c r="L782" s="369"/>
    </row>
    <row r="783" spans="1:12" s="377" customFormat="1">
      <c r="A783" s="370"/>
      <c r="B783" s="370"/>
      <c r="C783" s="421"/>
      <c r="D783" s="370"/>
      <c r="H783" s="369"/>
      <c r="K783" s="369"/>
      <c r="L783" s="369"/>
    </row>
    <row r="784" spans="1:12" s="377" customFormat="1">
      <c r="A784" s="370"/>
      <c r="B784" s="370"/>
      <c r="C784" s="421"/>
      <c r="D784" s="370"/>
      <c r="H784" s="369"/>
      <c r="K784" s="369"/>
      <c r="L784" s="369"/>
    </row>
    <row r="785" spans="1:12" s="377" customFormat="1">
      <c r="A785" s="370"/>
      <c r="B785" s="370"/>
      <c r="C785" s="421"/>
      <c r="D785" s="370"/>
      <c r="H785" s="369"/>
      <c r="K785" s="369"/>
      <c r="L785" s="369"/>
    </row>
    <row r="786" spans="1:12" s="377" customFormat="1">
      <c r="A786" s="370"/>
      <c r="B786" s="370"/>
      <c r="C786" s="421"/>
      <c r="D786" s="370"/>
      <c r="H786" s="369"/>
      <c r="K786" s="369"/>
      <c r="L786" s="369"/>
    </row>
    <row r="787" spans="1:12" s="377" customFormat="1">
      <c r="A787" s="370"/>
      <c r="B787" s="370"/>
      <c r="C787" s="421"/>
      <c r="D787" s="370"/>
      <c r="H787" s="369"/>
      <c r="K787" s="369"/>
      <c r="L787" s="369"/>
    </row>
    <row r="788" spans="1:12" s="377" customFormat="1">
      <c r="A788" s="370"/>
      <c r="B788" s="370"/>
      <c r="C788" s="421"/>
      <c r="D788" s="370"/>
      <c r="H788" s="369"/>
      <c r="K788" s="369"/>
      <c r="L788" s="369"/>
    </row>
    <row r="789" spans="1:12" s="377" customFormat="1">
      <c r="A789" s="370"/>
      <c r="B789" s="370"/>
      <c r="C789" s="421"/>
      <c r="D789" s="370"/>
      <c r="H789" s="369"/>
      <c r="K789" s="369"/>
      <c r="L789" s="369"/>
    </row>
    <row r="790" spans="1:12" s="377" customFormat="1">
      <c r="A790" s="370"/>
      <c r="B790" s="370"/>
      <c r="C790" s="421"/>
      <c r="D790" s="370"/>
      <c r="H790" s="369"/>
      <c r="K790" s="369"/>
      <c r="L790" s="369"/>
    </row>
    <row r="791" spans="1:12" s="377" customFormat="1">
      <c r="A791" s="370"/>
      <c r="B791" s="370"/>
      <c r="C791" s="421"/>
      <c r="D791" s="370"/>
      <c r="H791" s="369"/>
      <c r="K791" s="369"/>
      <c r="L791" s="369"/>
    </row>
    <row r="792" spans="1:12" s="377" customFormat="1">
      <c r="A792" s="370"/>
      <c r="B792" s="370"/>
      <c r="C792" s="421"/>
      <c r="D792" s="370"/>
      <c r="H792" s="369"/>
      <c r="K792" s="369"/>
      <c r="L792" s="369"/>
    </row>
    <row r="793" spans="1:12" s="377" customFormat="1">
      <c r="A793" s="370"/>
      <c r="B793" s="370"/>
      <c r="C793" s="421"/>
      <c r="D793" s="370"/>
      <c r="H793" s="369"/>
      <c r="K793" s="369"/>
      <c r="L793" s="369"/>
    </row>
    <row r="794" spans="1:12" s="377" customFormat="1">
      <c r="A794" s="370"/>
      <c r="B794" s="370"/>
      <c r="C794" s="421"/>
      <c r="D794" s="370"/>
      <c r="H794" s="369"/>
      <c r="K794" s="369"/>
      <c r="L794" s="369"/>
    </row>
    <row r="795" spans="1:12" s="377" customFormat="1">
      <c r="A795" s="370"/>
      <c r="B795" s="370"/>
      <c r="C795" s="421"/>
      <c r="D795" s="370"/>
      <c r="H795" s="369"/>
      <c r="K795" s="369"/>
      <c r="L795" s="369"/>
    </row>
    <row r="796" spans="1:12" s="377" customFormat="1">
      <c r="A796" s="370"/>
      <c r="B796" s="370"/>
      <c r="C796" s="421"/>
      <c r="D796" s="370"/>
      <c r="H796" s="369"/>
      <c r="K796" s="369"/>
      <c r="L796" s="369"/>
    </row>
    <row r="797" spans="1:12" s="377" customFormat="1">
      <c r="A797" s="370"/>
      <c r="B797" s="370"/>
      <c r="C797" s="421"/>
      <c r="D797" s="370"/>
      <c r="H797" s="369"/>
      <c r="K797" s="369"/>
      <c r="L797" s="369"/>
    </row>
    <row r="798" spans="1:12" s="377" customFormat="1">
      <c r="A798" s="370"/>
      <c r="B798" s="370"/>
      <c r="C798" s="421"/>
      <c r="D798" s="370"/>
      <c r="H798" s="369"/>
      <c r="K798" s="369"/>
      <c r="L798" s="369"/>
    </row>
    <row r="799" spans="1:12" s="377" customFormat="1">
      <c r="A799" s="370"/>
      <c r="B799" s="370"/>
      <c r="C799" s="421"/>
      <c r="D799" s="370"/>
      <c r="H799" s="369"/>
      <c r="K799" s="369"/>
      <c r="L799" s="369"/>
    </row>
    <row r="800" spans="1:12" s="377" customFormat="1">
      <c r="A800" s="370"/>
      <c r="B800" s="370"/>
      <c r="C800" s="421"/>
      <c r="D800" s="370"/>
      <c r="H800" s="369"/>
      <c r="K800" s="369"/>
      <c r="L800" s="369"/>
    </row>
    <row r="801" spans="1:12" s="377" customFormat="1">
      <c r="A801" s="370"/>
      <c r="B801" s="370"/>
      <c r="C801" s="421"/>
      <c r="D801" s="370"/>
      <c r="H801" s="369"/>
      <c r="K801" s="369"/>
      <c r="L801" s="369"/>
    </row>
    <row r="802" spans="1:12" s="377" customFormat="1">
      <c r="A802" s="370"/>
      <c r="B802" s="370"/>
      <c r="C802" s="421"/>
      <c r="D802" s="370"/>
      <c r="H802" s="369"/>
      <c r="K802" s="369"/>
      <c r="L802" s="369"/>
    </row>
    <row r="803" spans="1:12" s="377" customFormat="1">
      <c r="A803" s="370"/>
      <c r="B803" s="370"/>
      <c r="C803" s="421"/>
      <c r="D803" s="370"/>
      <c r="H803" s="369"/>
      <c r="K803" s="369"/>
      <c r="L803" s="369"/>
    </row>
    <row r="804" spans="1:12" s="377" customFormat="1">
      <c r="A804" s="370"/>
      <c r="B804" s="370"/>
      <c r="C804" s="421"/>
      <c r="D804" s="370"/>
      <c r="H804" s="369"/>
      <c r="K804" s="369"/>
      <c r="L804" s="369"/>
    </row>
    <row r="805" spans="1:12" s="377" customFormat="1">
      <c r="A805" s="370"/>
      <c r="B805" s="370"/>
      <c r="C805" s="421"/>
      <c r="D805" s="370"/>
      <c r="H805" s="369"/>
      <c r="K805" s="369"/>
      <c r="L805" s="369"/>
    </row>
    <row r="806" spans="1:12" s="377" customFormat="1">
      <c r="A806" s="370"/>
      <c r="B806" s="370"/>
      <c r="C806" s="421"/>
      <c r="D806" s="370"/>
      <c r="H806" s="369"/>
      <c r="K806" s="369"/>
      <c r="L806" s="369"/>
    </row>
    <row r="807" spans="1:12" s="377" customFormat="1">
      <c r="A807" s="370"/>
      <c r="B807" s="370"/>
      <c r="C807" s="421"/>
      <c r="D807" s="370"/>
      <c r="H807" s="369"/>
      <c r="K807" s="369"/>
      <c r="L807" s="369"/>
    </row>
    <row r="808" spans="1:12" s="377" customFormat="1">
      <c r="A808" s="370"/>
      <c r="B808" s="370"/>
      <c r="C808" s="421"/>
      <c r="D808" s="370"/>
      <c r="H808" s="369"/>
      <c r="K808" s="369"/>
      <c r="L808" s="369"/>
    </row>
    <row r="809" spans="1:12" s="377" customFormat="1">
      <c r="A809" s="370"/>
      <c r="B809" s="370"/>
      <c r="C809" s="421"/>
      <c r="D809" s="370"/>
      <c r="H809" s="369"/>
      <c r="K809" s="369"/>
      <c r="L809" s="369"/>
    </row>
    <row r="810" spans="1:12" s="377" customFormat="1">
      <c r="A810" s="370"/>
      <c r="B810" s="370"/>
      <c r="C810" s="421"/>
      <c r="D810" s="370"/>
      <c r="H810" s="369"/>
      <c r="K810" s="369"/>
      <c r="L810" s="369"/>
    </row>
    <row r="811" spans="1:12" s="377" customFormat="1">
      <c r="A811" s="370"/>
      <c r="B811" s="370"/>
      <c r="C811" s="421"/>
      <c r="D811" s="370"/>
      <c r="H811" s="369"/>
      <c r="K811" s="369"/>
      <c r="L811" s="369"/>
    </row>
    <row r="812" spans="1:12" s="377" customFormat="1">
      <c r="A812" s="370"/>
      <c r="B812" s="370"/>
      <c r="C812" s="421"/>
      <c r="D812" s="370"/>
      <c r="H812" s="369"/>
      <c r="K812" s="369"/>
      <c r="L812" s="369"/>
    </row>
    <row r="813" spans="1:12" s="377" customFormat="1">
      <c r="A813" s="370"/>
      <c r="B813" s="370"/>
      <c r="C813" s="421"/>
      <c r="D813" s="370"/>
      <c r="H813" s="369"/>
      <c r="K813" s="369"/>
      <c r="L813" s="369"/>
    </row>
    <row r="814" spans="1:12" s="377" customFormat="1">
      <c r="A814" s="370"/>
      <c r="B814" s="370"/>
      <c r="C814" s="421"/>
      <c r="D814" s="370"/>
      <c r="H814" s="369"/>
      <c r="K814" s="369"/>
      <c r="L814" s="369"/>
    </row>
    <row r="815" spans="1:12" s="377" customFormat="1">
      <c r="A815" s="370"/>
      <c r="B815" s="370"/>
      <c r="C815" s="421"/>
      <c r="D815" s="370"/>
      <c r="H815" s="369"/>
      <c r="K815" s="369"/>
      <c r="L815" s="369"/>
    </row>
    <row r="816" spans="1:12" s="377" customFormat="1">
      <c r="A816" s="370"/>
      <c r="B816" s="370"/>
      <c r="C816" s="421"/>
      <c r="D816" s="370"/>
      <c r="H816" s="369"/>
      <c r="K816" s="369"/>
      <c r="L816" s="369"/>
    </row>
    <row r="817" spans="1:12" s="377" customFormat="1">
      <c r="A817" s="370"/>
      <c r="B817" s="370"/>
      <c r="C817" s="421"/>
      <c r="D817" s="370"/>
      <c r="H817" s="369"/>
      <c r="K817" s="369"/>
      <c r="L817" s="369"/>
    </row>
    <row r="818" spans="1:12" s="377" customFormat="1">
      <c r="A818" s="370"/>
      <c r="B818" s="370"/>
      <c r="C818" s="421"/>
      <c r="D818" s="370"/>
      <c r="H818" s="369"/>
      <c r="K818" s="369"/>
      <c r="L818" s="369"/>
    </row>
    <row r="819" spans="1:12" s="377" customFormat="1">
      <c r="A819" s="370"/>
      <c r="B819" s="370"/>
      <c r="C819" s="421"/>
      <c r="D819" s="370"/>
      <c r="H819" s="369"/>
      <c r="K819" s="369"/>
      <c r="L819" s="369"/>
    </row>
    <row r="820" spans="1:12" s="377" customFormat="1">
      <c r="A820" s="370"/>
      <c r="B820" s="370"/>
      <c r="C820" s="421"/>
      <c r="D820" s="370"/>
      <c r="H820" s="369"/>
      <c r="K820" s="369"/>
      <c r="L820" s="369"/>
    </row>
    <row r="821" spans="1:12" s="377" customFormat="1">
      <c r="A821" s="370"/>
      <c r="B821" s="370"/>
      <c r="C821" s="421"/>
      <c r="D821" s="370"/>
      <c r="H821" s="369"/>
      <c r="K821" s="369"/>
      <c r="L821" s="369"/>
    </row>
    <row r="822" spans="1:12" s="377" customFormat="1">
      <c r="A822" s="370"/>
      <c r="B822" s="370"/>
      <c r="C822" s="421"/>
      <c r="D822" s="370"/>
      <c r="H822" s="369"/>
      <c r="K822" s="369"/>
      <c r="L822" s="369"/>
    </row>
    <row r="823" spans="1:12" s="377" customFormat="1">
      <c r="A823" s="370"/>
      <c r="B823" s="370"/>
      <c r="C823" s="421"/>
      <c r="D823" s="370"/>
      <c r="H823" s="369"/>
      <c r="K823" s="369"/>
      <c r="L823" s="369"/>
    </row>
    <row r="824" spans="1:12" s="377" customFormat="1">
      <c r="A824" s="370"/>
      <c r="B824" s="370"/>
      <c r="C824" s="421"/>
      <c r="D824" s="370"/>
      <c r="H824" s="369"/>
      <c r="K824" s="369"/>
      <c r="L824" s="369"/>
    </row>
    <row r="825" spans="1:12" s="377" customFormat="1">
      <c r="A825" s="370"/>
      <c r="B825" s="370"/>
      <c r="C825" s="421"/>
      <c r="D825" s="370"/>
      <c r="H825" s="369"/>
      <c r="K825" s="369"/>
      <c r="L825" s="369"/>
    </row>
    <row r="826" spans="1:12" s="377" customFormat="1">
      <c r="A826" s="370"/>
      <c r="B826" s="370"/>
      <c r="C826" s="421"/>
      <c r="D826" s="370"/>
      <c r="H826" s="369"/>
      <c r="K826" s="369"/>
      <c r="L826" s="369"/>
    </row>
    <row r="827" spans="1:12" s="377" customFormat="1">
      <c r="A827" s="370"/>
      <c r="B827" s="370"/>
      <c r="C827" s="421"/>
      <c r="D827" s="370"/>
      <c r="H827" s="369"/>
      <c r="K827" s="369"/>
      <c r="L827" s="369"/>
    </row>
    <row r="828" spans="1:12" s="377" customFormat="1">
      <c r="A828" s="370"/>
      <c r="B828" s="370"/>
      <c r="C828" s="421"/>
      <c r="D828" s="370"/>
      <c r="H828" s="369"/>
      <c r="K828" s="369"/>
      <c r="L828" s="369"/>
    </row>
    <row r="829" spans="1:12" s="377" customFormat="1">
      <c r="A829" s="370"/>
      <c r="B829" s="370"/>
      <c r="C829" s="421"/>
      <c r="D829" s="370"/>
      <c r="H829" s="369"/>
      <c r="K829" s="369"/>
      <c r="L829" s="369"/>
    </row>
    <row r="830" spans="1:12" s="377" customFormat="1">
      <c r="A830" s="370"/>
      <c r="B830" s="370"/>
      <c r="C830" s="421"/>
      <c r="D830" s="370"/>
      <c r="H830" s="369"/>
      <c r="K830" s="369"/>
      <c r="L830" s="369"/>
    </row>
    <row r="831" spans="1:12" s="377" customFormat="1">
      <c r="A831" s="370"/>
      <c r="B831" s="370"/>
      <c r="C831" s="421"/>
      <c r="D831" s="370"/>
      <c r="H831" s="369"/>
      <c r="K831" s="369"/>
      <c r="L831" s="369"/>
    </row>
    <row r="832" spans="1:12" s="377" customFormat="1">
      <c r="A832" s="370"/>
      <c r="B832" s="370"/>
      <c r="C832" s="421"/>
      <c r="D832" s="370"/>
      <c r="H832" s="369"/>
      <c r="K832" s="369"/>
      <c r="L832" s="369"/>
    </row>
    <row r="833" spans="1:12" s="377" customFormat="1">
      <c r="A833" s="370"/>
      <c r="B833" s="370"/>
      <c r="C833" s="421"/>
      <c r="D833" s="370"/>
      <c r="H833" s="369"/>
      <c r="K833" s="369"/>
      <c r="L833" s="369"/>
    </row>
    <row r="834" spans="1:12" s="377" customFormat="1">
      <c r="A834" s="370"/>
      <c r="B834" s="370"/>
      <c r="C834" s="421"/>
      <c r="D834" s="370"/>
      <c r="H834" s="369"/>
      <c r="K834" s="369"/>
      <c r="L834" s="369"/>
    </row>
    <row r="835" spans="1:12" s="377" customFormat="1">
      <c r="A835" s="370"/>
      <c r="B835" s="370"/>
      <c r="C835" s="421"/>
      <c r="D835" s="370"/>
      <c r="H835" s="369"/>
      <c r="K835" s="369"/>
      <c r="L835" s="369"/>
    </row>
    <row r="836" spans="1:12" s="377" customFormat="1">
      <c r="A836" s="370"/>
      <c r="B836" s="370"/>
      <c r="C836" s="421"/>
      <c r="D836" s="370"/>
      <c r="H836" s="369"/>
      <c r="K836" s="369"/>
      <c r="L836" s="369"/>
    </row>
    <row r="837" spans="1:12" s="377" customFormat="1">
      <c r="A837" s="370"/>
      <c r="B837" s="370"/>
      <c r="C837" s="421"/>
      <c r="D837" s="370"/>
      <c r="H837" s="369"/>
      <c r="K837" s="369"/>
      <c r="L837" s="369"/>
    </row>
    <row r="838" spans="1:12" s="377" customFormat="1">
      <c r="A838" s="370"/>
      <c r="B838" s="370"/>
      <c r="C838" s="421"/>
      <c r="D838" s="370"/>
      <c r="H838" s="369"/>
      <c r="K838" s="369"/>
      <c r="L838" s="369"/>
    </row>
    <row r="839" spans="1:12" s="377" customFormat="1">
      <c r="A839" s="370"/>
      <c r="B839" s="370"/>
      <c r="C839" s="421"/>
      <c r="D839" s="370"/>
      <c r="H839" s="369"/>
      <c r="K839" s="369"/>
      <c r="L839" s="369"/>
    </row>
    <row r="840" spans="1:12" s="377" customFormat="1">
      <c r="A840" s="370"/>
      <c r="B840" s="370"/>
      <c r="C840" s="421"/>
      <c r="D840" s="370"/>
      <c r="H840" s="369"/>
      <c r="K840" s="369"/>
      <c r="L840" s="369"/>
    </row>
    <row r="841" spans="1:12" s="377" customFormat="1">
      <c r="A841" s="370"/>
      <c r="B841" s="370"/>
      <c r="C841" s="421"/>
      <c r="D841" s="370"/>
      <c r="H841" s="369"/>
      <c r="K841" s="369"/>
      <c r="L841" s="369"/>
    </row>
    <row r="842" spans="1:12" s="377" customFormat="1">
      <c r="A842" s="370"/>
      <c r="B842" s="370"/>
      <c r="C842" s="421"/>
      <c r="D842" s="370"/>
      <c r="H842" s="369"/>
      <c r="K842" s="369"/>
      <c r="L842" s="369"/>
    </row>
    <row r="843" spans="1:12" s="377" customFormat="1">
      <c r="A843" s="370"/>
      <c r="B843" s="370"/>
      <c r="C843" s="421"/>
      <c r="D843" s="370"/>
      <c r="H843" s="369"/>
      <c r="K843" s="369"/>
      <c r="L843" s="369"/>
    </row>
    <row r="844" spans="1:12" s="377" customFormat="1">
      <c r="A844" s="370"/>
      <c r="B844" s="370"/>
      <c r="C844" s="421"/>
      <c r="D844" s="370"/>
      <c r="H844" s="369"/>
      <c r="K844" s="369"/>
      <c r="L844" s="369"/>
    </row>
    <row r="845" spans="1:12" s="377" customFormat="1">
      <c r="A845" s="370"/>
      <c r="B845" s="370"/>
      <c r="C845" s="421"/>
      <c r="D845" s="370"/>
      <c r="H845" s="369"/>
      <c r="K845" s="369"/>
      <c r="L845" s="369"/>
    </row>
    <row r="846" spans="1:12" s="377" customFormat="1">
      <c r="A846" s="370"/>
      <c r="B846" s="370"/>
      <c r="C846" s="421"/>
      <c r="D846" s="370"/>
      <c r="H846" s="369"/>
      <c r="K846" s="369"/>
      <c r="L846" s="369"/>
    </row>
    <row r="847" spans="1:12" s="377" customFormat="1">
      <c r="A847" s="370"/>
      <c r="B847" s="370"/>
      <c r="C847" s="421"/>
      <c r="D847" s="370"/>
      <c r="H847" s="369"/>
      <c r="K847" s="369"/>
      <c r="L847" s="369"/>
    </row>
    <row r="848" spans="1:12" s="377" customFormat="1">
      <c r="A848" s="370"/>
      <c r="B848" s="370"/>
      <c r="C848" s="421"/>
      <c r="D848" s="370"/>
      <c r="H848" s="369"/>
      <c r="K848" s="369"/>
      <c r="L848" s="369"/>
    </row>
    <row r="849" spans="1:12" s="377" customFormat="1">
      <c r="A849" s="370"/>
      <c r="B849" s="370"/>
      <c r="C849" s="421"/>
      <c r="D849" s="370"/>
      <c r="H849" s="369"/>
      <c r="K849" s="369"/>
      <c r="L849" s="369"/>
    </row>
    <row r="850" spans="1:12" s="377" customFormat="1">
      <c r="A850" s="370"/>
      <c r="B850" s="370"/>
      <c r="C850" s="421"/>
      <c r="D850" s="370"/>
      <c r="H850" s="369"/>
      <c r="K850" s="369"/>
      <c r="L850" s="369"/>
    </row>
    <row r="851" spans="1:12" s="377" customFormat="1">
      <c r="A851" s="370"/>
      <c r="B851" s="370"/>
      <c r="C851" s="421"/>
      <c r="D851" s="370"/>
      <c r="H851" s="369"/>
      <c r="K851" s="369"/>
      <c r="L851" s="369"/>
    </row>
    <row r="852" spans="1:12" s="377" customFormat="1">
      <c r="A852" s="370"/>
      <c r="B852" s="370"/>
      <c r="C852" s="421"/>
      <c r="D852" s="370"/>
      <c r="H852" s="369"/>
      <c r="K852" s="369"/>
      <c r="L852" s="369"/>
    </row>
    <row r="853" spans="1:12" s="377" customFormat="1">
      <c r="A853" s="370"/>
      <c r="B853" s="370"/>
      <c r="C853" s="421"/>
      <c r="D853" s="370"/>
      <c r="H853" s="369"/>
      <c r="K853" s="369"/>
      <c r="L853" s="369"/>
    </row>
    <row r="854" spans="1:12" s="377" customFormat="1">
      <c r="A854" s="370"/>
      <c r="B854" s="370"/>
      <c r="C854" s="421"/>
      <c r="D854" s="370"/>
      <c r="H854" s="369"/>
      <c r="K854" s="369"/>
      <c r="L854" s="369"/>
    </row>
    <row r="855" spans="1:12" s="377" customFormat="1">
      <c r="A855" s="370"/>
      <c r="B855" s="370"/>
      <c r="C855" s="421"/>
      <c r="D855" s="370"/>
      <c r="H855" s="369"/>
      <c r="K855" s="369"/>
      <c r="L855" s="369"/>
    </row>
    <row r="856" spans="1:12" s="377" customFormat="1">
      <c r="A856" s="370"/>
      <c r="B856" s="370"/>
      <c r="C856" s="421"/>
      <c r="D856" s="370"/>
      <c r="H856" s="369"/>
      <c r="K856" s="369"/>
      <c r="L856" s="369"/>
    </row>
    <row r="857" spans="1:12" s="377" customFormat="1">
      <c r="A857" s="370"/>
      <c r="B857" s="370"/>
      <c r="C857" s="421"/>
      <c r="D857" s="370"/>
      <c r="H857" s="369"/>
      <c r="K857" s="369"/>
      <c r="L857" s="369"/>
    </row>
    <row r="858" spans="1:12" s="377" customFormat="1">
      <c r="A858" s="370"/>
      <c r="B858" s="370"/>
      <c r="C858" s="421"/>
      <c r="D858" s="370"/>
      <c r="H858" s="369"/>
      <c r="K858" s="369"/>
      <c r="L858" s="369"/>
    </row>
    <row r="859" spans="1:12" s="377" customFormat="1">
      <c r="A859" s="370"/>
      <c r="B859" s="370"/>
      <c r="C859" s="421"/>
      <c r="D859" s="370"/>
      <c r="H859" s="369"/>
      <c r="K859" s="369"/>
      <c r="L859" s="369"/>
    </row>
    <row r="860" spans="1:12" s="377" customFormat="1">
      <c r="A860" s="370"/>
      <c r="B860" s="370"/>
      <c r="C860" s="421"/>
      <c r="D860" s="370"/>
      <c r="H860" s="369"/>
      <c r="K860" s="369"/>
      <c r="L860" s="369"/>
    </row>
    <row r="861" spans="1:12" s="377" customFormat="1">
      <c r="A861" s="370"/>
      <c r="B861" s="370"/>
      <c r="C861" s="421"/>
      <c r="D861" s="370"/>
      <c r="H861" s="369"/>
      <c r="K861" s="369"/>
      <c r="L861" s="369"/>
    </row>
    <row r="862" spans="1:12" s="377" customFormat="1">
      <c r="A862" s="370"/>
      <c r="B862" s="370"/>
      <c r="C862" s="421"/>
      <c r="D862" s="370"/>
      <c r="H862" s="369"/>
      <c r="K862" s="369"/>
      <c r="L862" s="369"/>
    </row>
    <row r="863" spans="1:12" s="377" customFormat="1">
      <c r="A863" s="370"/>
      <c r="B863" s="370"/>
      <c r="C863" s="421"/>
      <c r="D863" s="370"/>
      <c r="H863" s="369"/>
      <c r="K863" s="369"/>
      <c r="L863" s="369"/>
    </row>
    <row r="864" spans="1:12" s="377" customFormat="1">
      <c r="A864" s="370"/>
      <c r="B864" s="370"/>
      <c r="C864" s="421"/>
      <c r="D864" s="370"/>
      <c r="H864" s="369"/>
      <c r="K864" s="369"/>
      <c r="L864" s="369"/>
    </row>
    <row r="865" spans="1:12" s="377" customFormat="1">
      <c r="A865" s="370"/>
      <c r="B865" s="370"/>
      <c r="C865" s="421"/>
      <c r="D865" s="370"/>
      <c r="H865" s="369"/>
      <c r="K865" s="369"/>
      <c r="L865" s="369"/>
    </row>
    <row r="866" spans="1:12" s="377" customFormat="1">
      <c r="A866" s="370"/>
      <c r="B866" s="370"/>
      <c r="C866" s="421"/>
      <c r="D866" s="370"/>
      <c r="H866" s="369"/>
      <c r="K866" s="369"/>
      <c r="L866" s="369"/>
    </row>
    <row r="867" spans="1:12" s="377" customFormat="1">
      <c r="A867" s="370"/>
      <c r="B867" s="370"/>
      <c r="C867" s="421"/>
      <c r="D867" s="370"/>
      <c r="H867" s="369"/>
      <c r="K867" s="369"/>
      <c r="L867" s="369"/>
    </row>
    <row r="868" spans="1:12" s="377" customFormat="1">
      <c r="A868" s="370"/>
      <c r="B868" s="370"/>
      <c r="C868" s="421"/>
      <c r="D868" s="370"/>
      <c r="H868" s="369"/>
      <c r="K868" s="369"/>
      <c r="L868" s="369"/>
    </row>
    <row r="869" spans="1:12" s="377" customFormat="1">
      <c r="A869" s="370"/>
      <c r="B869" s="370"/>
      <c r="C869" s="421"/>
      <c r="D869" s="370"/>
      <c r="H869" s="369"/>
      <c r="K869" s="369"/>
      <c r="L869" s="369"/>
    </row>
    <row r="870" spans="1:12" s="377" customFormat="1">
      <c r="A870" s="370"/>
      <c r="B870" s="370"/>
      <c r="C870" s="421"/>
      <c r="D870" s="370"/>
      <c r="H870" s="369"/>
      <c r="K870" s="369"/>
      <c r="L870" s="369"/>
    </row>
    <row r="871" spans="1:12" s="377" customFormat="1">
      <c r="A871" s="370"/>
      <c r="B871" s="370"/>
      <c r="C871" s="421"/>
      <c r="D871" s="370"/>
      <c r="H871" s="369"/>
      <c r="K871" s="369"/>
      <c r="L871" s="369"/>
    </row>
    <row r="872" spans="1:12" s="377" customFormat="1">
      <c r="A872" s="370"/>
      <c r="B872" s="370"/>
      <c r="C872" s="421"/>
      <c r="D872" s="370"/>
      <c r="H872" s="369"/>
      <c r="K872" s="369"/>
      <c r="L872" s="369"/>
    </row>
    <row r="873" spans="1:12" s="377" customFormat="1">
      <c r="A873" s="370"/>
      <c r="B873" s="370"/>
      <c r="C873" s="421"/>
      <c r="D873" s="370"/>
      <c r="H873" s="369"/>
      <c r="K873" s="369"/>
      <c r="L873" s="369"/>
    </row>
    <row r="874" spans="1:12" s="377" customFormat="1">
      <c r="A874" s="370"/>
      <c r="B874" s="370"/>
      <c r="C874" s="421"/>
      <c r="D874" s="370"/>
      <c r="H874" s="369"/>
      <c r="K874" s="369"/>
      <c r="L874" s="369"/>
    </row>
    <row r="875" spans="1:12" s="377" customFormat="1">
      <c r="A875" s="370"/>
      <c r="B875" s="370"/>
      <c r="C875" s="421"/>
      <c r="D875" s="370"/>
      <c r="H875" s="369"/>
      <c r="K875" s="369"/>
      <c r="L875" s="369"/>
    </row>
    <row r="876" spans="1:12" s="377" customFormat="1">
      <c r="A876" s="370"/>
      <c r="B876" s="370"/>
      <c r="C876" s="421"/>
      <c r="D876" s="370"/>
      <c r="H876" s="369"/>
      <c r="K876" s="369"/>
      <c r="L876" s="369"/>
    </row>
    <row r="877" spans="1:12" s="377" customFormat="1">
      <c r="A877" s="370"/>
      <c r="B877" s="370"/>
      <c r="C877" s="421"/>
      <c r="D877" s="370"/>
      <c r="H877" s="369"/>
      <c r="K877" s="369"/>
      <c r="L877" s="369"/>
    </row>
    <row r="878" spans="1:12" s="377" customFormat="1">
      <c r="A878" s="370"/>
      <c r="B878" s="370"/>
      <c r="C878" s="421"/>
      <c r="D878" s="370"/>
      <c r="H878" s="369"/>
      <c r="K878" s="369"/>
      <c r="L878" s="369"/>
    </row>
    <row r="879" spans="1:12" s="377" customFormat="1">
      <c r="A879" s="370"/>
      <c r="B879" s="370"/>
      <c r="C879" s="421"/>
      <c r="D879" s="370"/>
      <c r="H879" s="369"/>
      <c r="K879" s="369"/>
      <c r="L879" s="369"/>
    </row>
    <row r="880" spans="1:12" s="377" customFormat="1">
      <c r="A880" s="370"/>
      <c r="B880" s="370"/>
      <c r="C880" s="421"/>
      <c r="D880" s="370"/>
      <c r="H880" s="369"/>
      <c r="K880" s="369"/>
      <c r="L880" s="369"/>
    </row>
    <row r="881" spans="1:12" s="377" customFormat="1">
      <c r="A881" s="370"/>
      <c r="B881" s="370"/>
      <c r="C881" s="421"/>
      <c r="D881" s="370"/>
      <c r="H881" s="369"/>
      <c r="K881" s="369"/>
      <c r="L881" s="369"/>
    </row>
    <row r="882" spans="1:12" s="377" customFormat="1">
      <c r="A882" s="370"/>
      <c r="B882" s="370"/>
      <c r="C882" s="421"/>
      <c r="D882" s="370"/>
      <c r="H882" s="369"/>
      <c r="K882" s="369"/>
      <c r="L882" s="369"/>
    </row>
    <row r="883" spans="1:12" s="377" customFormat="1">
      <c r="A883" s="370"/>
      <c r="B883" s="370"/>
      <c r="C883" s="421"/>
      <c r="D883" s="370"/>
      <c r="H883" s="369"/>
      <c r="K883" s="369"/>
      <c r="L883" s="369"/>
    </row>
    <row r="884" spans="1:12" s="377" customFormat="1">
      <c r="A884" s="370"/>
      <c r="B884" s="370"/>
      <c r="C884" s="421"/>
      <c r="D884" s="370"/>
      <c r="H884" s="369"/>
      <c r="K884" s="369"/>
      <c r="L884" s="369"/>
    </row>
    <row r="885" spans="1:12" s="377" customFormat="1">
      <c r="A885" s="370"/>
      <c r="B885" s="370"/>
      <c r="C885" s="421"/>
      <c r="D885" s="370"/>
      <c r="H885" s="369"/>
      <c r="K885" s="369"/>
      <c r="L885" s="369"/>
    </row>
    <row r="886" spans="1:12" s="377" customFormat="1">
      <c r="A886" s="370"/>
      <c r="B886" s="370"/>
      <c r="C886" s="421"/>
      <c r="D886" s="370"/>
      <c r="H886" s="369"/>
      <c r="K886" s="369"/>
      <c r="L886" s="369"/>
    </row>
    <row r="887" spans="1:12" s="377" customFormat="1">
      <c r="A887" s="370"/>
      <c r="B887" s="370"/>
      <c r="C887" s="421"/>
      <c r="D887" s="370"/>
      <c r="H887" s="369"/>
      <c r="K887" s="369"/>
      <c r="L887" s="369"/>
    </row>
    <row r="888" spans="1:12" s="377" customFormat="1">
      <c r="A888" s="370"/>
      <c r="B888" s="370"/>
      <c r="C888" s="421"/>
      <c r="D888" s="370"/>
      <c r="H888" s="369"/>
      <c r="K888" s="369"/>
      <c r="L888" s="369"/>
    </row>
    <row r="889" spans="1:12" s="377" customFormat="1">
      <c r="A889" s="370"/>
      <c r="B889" s="370"/>
      <c r="C889" s="421"/>
      <c r="D889" s="370"/>
      <c r="H889" s="369"/>
      <c r="K889" s="369"/>
      <c r="L889" s="369"/>
    </row>
    <row r="890" spans="1:12" s="377" customFormat="1">
      <c r="A890" s="370"/>
      <c r="B890" s="370"/>
      <c r="C890" s="421"/>
      <c r="D890" s="370"/>
      <c r="H890" s="369"/>
      <c r="K890" s="369"/>
      <c r="L890" s="369"/>
    </row>
    <row r="891" spans="1:12" s="377" customFormat="1">
      <c r="A891" s="370"/>
      <c r="B891" s="370"/>
      <c r="C891" s="421"/>
      <c r="D891" s="370"/>
      <c r="H891" s="369"/>
      <c r="K891" s="369"/>
      <c r="L891" s="369"/>
    </row>
    <row r="892" spans="1:12" s="377" customFormat="1">
      <c r="A892" s="370"/>
      <c r="B892" s="370"/>
      <c r="C892" s="421"/>
      <c r="D892" s="370"/>
      <c r="H892" s="369"/>
      <c r="K892" s="369"/>
      <c r="L892" s="369"/>
    </row>
    <row r="893" spans="1:12" s="377" customFormat="1">
      <c r="A893" s="370"/>
      <c r="B893" s="370"/>
      <c r="C893" s="421"/>
      <c r="D893" s="370"/>
      <c r="H893" s="369"/>
      <c r="K893" s="369"/>
      <c r="L893" s="369"/>
    </row>
    <row r="894" spans="1:12" s="377" customFormat="1">
      <c r="A894" s="370"/>
      <c r="B894" s="370"/>
      <c r="C894" s="421"/>
      <c r="D894" s="370"/>
      <c r="H894" s="369"/>
      <c r="K894" s="369"/>
      <c r="L894" s="369"/>
    </row>
    <row r="895" spans="1:12" s="377" customFormat="1">
      <c r="A895" s="370"/>
      <c r="B895" s="370"/>
      <c r="C895" s="421"/>
      <c r="D895" s="370"/>
      <c r="H895" s="369"/>
      <c r="K895" s="369"/>
      <c r="L895" s="369"/>
    </row>
    <row r="896" spans="1:12" s="377" customFormat="1">
      <c r="A896" s="370"/>
      <c r="B896" s="370"/>
      <c r="C896" s="421"/>
      <c r="D896" s="370"/>
      <c r="H896" s="369"/>
      <c r="K896" s="369"/>
      <c r="L896" s="369"/>
    </row>
    <row r="897" spans="1:12" s="377" customFormat="1">
      <c r="A897" s="370"/>
      <c r="B897" s="370"/>
      <c r="C897" s="421"/>
      <c r="D897" s="370"/>
      <c r="H897" s="369"/>
      <c r="K897" s="369"/>
      <c r="L897" s="369"/>
    </row>
    <row r="898" spans="1:12" s="377" customFormat="1">
      <c r="A898" s="370"/>
      <c r="B898" s="370"/>
      <c r="C898" s="421"/>
      <c r="D898" s="370"/>
      <c r="H898" s="369"/>
      <c r="K898" s="369"/>
      <c r="L898" s="369"/>
    </row>
    <row r="899" spans="1:12" s="377" customFormat="1">
      <c r="A899" s="370"/>
      <c r="B899" s="370"/>
      <c r="C899" s="421"/>
      <c r="D899" s="370"/>
      <c r="H899" s="369"/>
      <c r="K899" s="369"/>
      <c r="L899" s="369"/>
    </row>
    <row r="900" spans="1:12" s="377" customFormat="1">
      <c r="A900" s="370"/>
      <c r="B900" s="370"/>
      <c r="C900" s="421"/>
      <c r="D900" s="370"/>
      <c r="H900" s="369"/>
      <c r="K900" s="369"/>
      <c r="L900" s="369"/>
    </row>
    <row r="901" spans="1:12" s="377" customFormat="1">
      <c r="A901" s="370"/>
      <c r="B901" s="370"/>
      <c r="C901" s="421"/>
      <c r="D901" s="370"/>
      <c r="H901" s="369"/>
      <c r="K901" s="369"/>
      <c r="L901" s="369"/>
    </row>
    <row r="902" spans="1:12" s="377" customFormat="1">
      <c r="A902" s="370"/>
      <c r="B902" s="370"/>
      <c r="C902" s="421"/>
      <c r="D902" s="370"/>
      <c r="H902" s="369"/>
      <c r="K902" s="369"/>
      <c r="L902" s="369"/>
    </row>
    <row r="903" spans="1:12" s="377" customFormat="1">
      <c r="A903" s="370"/>
      <c r="B903" s="370"/>
      <c r="C903" s="421"/>
      <c r="D903" s="370"/>
      <c r="H903" s="369"/>
      <c r="K903" s="369"/>
      <c r="L903" s="369"/>
    </row>
    <row r="904" spans="1:12" s="377" customFormat="1">
      <c r="A904" s="370"/>
      <c r="B904" s="370"/>
      <c r="C904" s="421"/>
      <c r="D904" s="370"/>
      <c r="H904" s="369"/>
      <c r="K904" s="369"/>
      <c r="L904" s="369"/>
    </row>
    <row r="905" spans="1:12" s="377" customFormat="1">
      <c r="A905" s="370"/>
      <c r="B905" s="370"/>
      <c r="C905" s="421"/>
      <c r="D905" s="370"/>
      <c r="H905" s="369"/>
      <c r="K905" s="369"/>
      <c r="L905" s="369"/>
    </row>
    <row r="906" spans="1:12" s="377" customFormat="1">
      <c r="A906" s="370"/>
      <c r="B906" s="370"/>
      <c r="C906" s="421"/>
      <c r="D906" s="370"/>
      <c r="H906" s="369"/>
      <c r="K906" s="369"/>
      <c r="L906" s="369"/>
    </row>
    <row r="907" spans="1:12" s="377" customFormat="1">
      <c r="A907" s="370"/>
      <c r="B907" s="370"/>
      <c r="C907" s="421"/>
      <c r="D907" s="370"/>
      <c r="H907" s="369"/>
      <c r="K907" s="369"/>
      <c r="L907" s="369"/>
    </row>
    <row r="908" spans="1:12" s="377" customFormat="1">
      <c r="A908" s="370"/>
      <c r="B908" s="370"/>
      <c r="C908" s="421"/>
      <c r="D908" s="370"/>
      <c r="H908" s="369"/>
      <c r="K908" s="369"/>
      <c r="L908" s="369"/>
    </row>
    <row r="909" spans="1:12" s="377" customFormat="1">
      <c r="A909" s="370"/>
      <c r="B909" s="370"/>
      <c r="C909" s="421"/>
      <c r="D909" s="370"/>
      <c r="H909" s="369"/>
      <c r="K909" s="369"/>
      <c r="L909" s="369"/>
    </row>
    <row r="910" spans="1:12" s="377" customFormat="1">
      <c r="A910" s="370"/>
      <c r="B910" s="370"/>
      <c r="C910" s="421"/>
      <c r="D910" s="370"/>
      <c r="H910" s="369"/>
      <c r="K910" s="369"/>
      <c r="L910" s="369"/>
    </row>
    <row r="911" spans="1:12" s="377" customFormat="1">
      <c r="A911" s="370"/>
      <c r="B911" s="370"/>
      <c r="C911" s="421"/>
      <c r="D911" s="370"/>
      <c r="H911" s="369"/>
      <c r="K911" s="369"/>
      <c r="L911" s="369"/>
    </row>
    <row r="912" spans="1:12" s="377" customFormat="1">
      <c r="A912" s="370"/>
      <c r="B912" s="370"/>
      <c r="C912" s="421"/>
      <c r="D912" s="370"/>
      <c r="H912" s="369"/>
      <c r="K912" s="369"/>
      <c r="L912" s="369"/>
    </row>
    <row r="913" spans="1:12" s="377" customFormat="1">
      <c r="A913" s="370"/>
      <c r="B913" s="370"/>
      <c r="C913" s="421"/>
      <c r="D913" s="370"/>
      <c r="H913" s="369"/>
      <c r="K913" s="369"/>
      <c r="L913" s="369"/>
    </row>
    <row r="914" spans="1:12" s="377" customFormat="1">
      <c r="A914" s="370"/>
      <c r="B914" s="370"/>
      <c r="C914" s="421"/>
      <c r="D914" s="370"/>
      <c r="H914" s="369"/>
      <c r="K914" s="369"/>
      <c r="L914" s="369"/>
    </row>
    <row r="915" spans="1:12" s="377" customFormat="1">
      <c r="A915" s="370"/>
      <c r="B915" s="370"/>
      <c r="C915" s="421"/>
      <c r="D915" s="370"/>
      <c r="H915" s="369"/>
      <c r="K915" s="369"/>
      <c r="L915" s="369"/>
    </row>
    <row r="916" spans="1:12" s="377" customFormat="1">
      <c r="A916" s="370"/>
      <c r="B916" s="370"/>
      <c r="C916" s="421"/>
      <c r="D916" s="370"/>
      <c r="H916" s="369"/>
      <c r="K916" s="369"/>
      <c r="L916" s="369"/>
    </row>
    <row r="917" spans="1:12" s="377" customFormat="1">
      <c r="A917" s="370"/>
      <c r="B917" s="370"/>
      <c r="C917" s="421"/>
      <c r="D917" s="370"/>
      <c r="H917" s="369"/>
      <c r="K917" s="369"/>
      <c r="L917" s="369"/>
    </row>
    <row r="918" spans="1:12" s="377" customFormat="1">
      <c r="A918" s="370"/>
      <c r="B918" s="370"/>
      <c r="C918" s="421"/>
      <c r="D918" s="370"/>
      <c r="H918" s="369"/>
      <c r="K918" s="369"/>
      <c r="L918" s="369"/>
    </row>
    <row r="919" spans="1:12" s="377" customFormat="1">
      <c r="A919" s="370"/>
      <c r="B919" s="370"/>
      <c r="C919" s="421"/>
      <c r="D919" s="370"/>
      <c r="H919" s="369"/>
      <c r="K919" s="369"/>
      <c r="L919" s="369"/>
    </row>
    <row r="920" spans="1:12" s="377" customFormat="1">
      <c r="A920" s="370"/>
      <c r="B920" s="370"/>
      <c r="C920" s="421"/>
      <c r="D920" s="370"/>
      <c r="H920" s="369"/>
      <c r="K920" s="369"/>
      <c r="L920" s="369"/>
    </row>
    <row r="921" spans="1:12" s="377" customFormat="1">
      <c r="A921" s="370"/>
      <c r="B921" s="370"/>
      <c r="C921" s="421"/>
      <c r="D921" s="370"/>
      <c r="H921" s="369"/>
      <c r="K921" s="369"/>
      <c r="L921" s="369"/>
    </row>
    <row r="922" spans="1:12" s="377" customFormat="1">
      <c r="A922" s="370"/>
      <c r="B922" s="370"/>
      <c r="C922" s="421"/>
      <c r="D922" s="370"/>
      <c r="H922" s="369"/>
      <c r="K922" s="369"/>
      <c r="L922" s="369"/>
    </row>
    <row r="923" spans="1:12" s="377" customFormat="1">
      <c r="A923" s="370"/>
      <c r="B923" s="370"/>
      <c r="C923" s="421"/>
      <c r="D923" s="370"/>
      <c r="H923" s="369"/>
      <c r="K923" s="369"/>
      <c r="L923" s="369"/>
    </row>
    <row r="924" spans="1:12" s="377" customFormat="1">
      <c r="A924" s="370"/>
      <c r="B924" s="370"/>
      <c r="C924" s="421"/>
      <c r="D924" s="370"/>
      <c r="H924" s="369"/>
      <c r="K924" s="369"/>
      <c r="L924" s="369"/>
    </row>
    <row r="925" spans="1:12" s="377" customFormat="1">
      <c r="A925" s="370"/>
      <c r="B925" s="370"/>
      <c r="C925" s="421"/>
      <c r="D925" s="370"/>
      <c r="H925" s="369"/>
      <c r="K925" s="369"/>
      <c r="L925" s="369"/>
    </row>
    <row r="926" spans="1:12" s="377" customFormat="1">
      <c r="A926" s="370"/>
      <c r="B926" s="370"/>
      <c r="C926" s="421"/>
      <c r="D926" s="370"/>
      <c r="H926" s="369"/>
      <c r="K926" s="369"/>
      <c r="L926" s="369"/>
    </row>
    <row r="927" spans="1:12" s="377" customFormat="1">
      <c r="A927" s="370"/>
      <c r="B927" s="370"/>
      <c r="C927" s="421"/>
      <c r="D927" s="370"/>
      <c r="H927" s="369"/>
      <c r="K927" s="369"/>
      <c r="L927" s="369"/>
    </row>
    <row r="928" spans="1:12" s="377" customFormat="1">
      <c r="A928" s="370"/>
      <c r="B928" s="370"/>
      <c r="C928" s="421"/>
      <c r="D928" s="370"/>
      <c r="H928" s="369"/>
      <c r="K928" s="369"/>
      <c r="L928" s="369"/>
    </row>
    <row r="929" spans="1:12" s="377" customFormat="1">
      <c r="A929" s="370"/>
      <c r="B929" s="370"/>
      <c r="C929" s="421"/>
      <c r="D929" s="370"/>
      <c r="H929" s="369"/>
      <c r="K929" s="369"/>
      <c r="L929" s="369"/>
    </row>
    <row r="930" spans="1:12" s="377" customFormat="1">
      <c r="A930" s="370"/>
      <c r="B930" s="370"/>
      <c r="C930" s="421"/>
      <c r="D930" s="370"/>
      <c r="H930" s="369"/>
      <c r="K930" s="369"/>
      <c r="L930" s="369"/>
    </row>
    <row r="931" spans="1:12" s="377" customFormat="1">
      <c r="A931" s="370"/>
      <c r="B931" s="370"/>
      <c r="C931" s="421"/>
      <c r="D931" s="370"/>
      <c r="H931" s="369"/>
      <c r="K931" s="369"/>
      <c r="L931" s="369"/>
    </row>
    <row r="932" spans="1:12" s="377" customFormat="1">
      <c r="A932" s="370"/>
      <c r="B932" s="370"/>
      <c r="C932" s="421"/>
      <c r="D932" s="370"/>
      <c r="H932" s="369"/>
      <c r="K932" s="369"/>
      <c r="L932" s="369"/>
    </row>
    <row r="933" spans="1:12" s="377" customFormat="1">
      <c r="A933" s="370"/>
      <c r="B933" s="370"/>
      <c r="C933" s="421"/>
      <c r="D933" s="370"/>
      <c r="H933" s="369"/>
      <c r="K933" s="369"/>
      <c r="L933" s="369"/>
    </row>
    <row r="934" spans="1:12" s="377" customFormat="1">
      <c r="A934" s="370"/>
      <c r="B934" s="370"/>
      <c r="C934" s="421"/>
      <c r="D934" s="370"/>
      <c r="H934" s="369"/>
      <c r="K934" s="369"/>
      <c r="L934" s="369"/>
    </row>
    <row r="935" spans="1:12" s="377" customFormat="1">
      <c r="A935" s="370"/>
      <c r="B935" s="370"/>
      <c r="C935" s="421"/>
      <c r="D935" s="370"/>
      <c r="H935" s="369"/>
      <c r="K935" s="369"/>
      <c r="L935" s="369"/>
    </row>
    <row r="936" spans="1:12" s="377" customFormat="1">
      <c r="A936" s="370"/>
      <c r="B936" s="370"/>
      <c r="C936" s="421"/>
      <c r="D936" s="370"/>
      <c r="H936" s="369"/>
      <c r="K936" s="369"/>
      <c r="L936" s="369"/>
    </row>
    <row r="937" spans="1:12" s="377" customFormat="1">
      <c r="A937" s="370"/>
      <c r="B937" s="370"/>
      <c r="C937" s="421"/>
      <c r="D937" s="370"/>
      <c r="H937" s="369"/>
      <c r="K937" s="369"/>
      <c r="L937" s="369"/>
    </row>
    <row r="938" spans="1:12" s="377" customFormat="1">
      <c r="A938" s="370"/>
      <c r="B938" s="370"/>
      <c r="C938" s="421"/>
      <c r="D938" s="370"/>
      <c r="H938" s="369"/>
      <c r="K938" s="369"/>
      <c r="L938" s="369"/>
    </row>
    <row r="939" spans="1:12" s="377" customFormat="1">
      <c r="A939" s="370"/>
      <c r="B939" s="370"/>
      <c r="C939" s="421"/>
      <c r="D939" s="370"/>
      <c r="H939" s="369"/>
      <c r="K939" s="369"/>
      <c r="L939" s="369"/>
    </row>
    <row r="940" spans="1:12" s="377" customFormat="1">
      <c r="A940" s="370"/>
      <c r="B940" s="370"/>
      <c r="C940" s="421"/>
      <c r="D940" s="370"/>
      <c r="H940" s="369"/>
      <c r="K940" s="369"/>
      <c r="L940" s="369"/>
    </row>
    <row r="941" spans="1:12" s="377" customFormat="1">
      <c r="A941" s="370"/>
      <c r="B941" s="370"/>
      <c r="C941" s="421"/>
      <c r="D941" s="370"/>
      <c r="H941" s="369"/>
      <c r="K941" s="369"/>
      <c r="L941" s="369"/>
    </row>
    <row r="942" spans="1:12" s="377" customFormat="1">
      <c r="A942" s="370"/>
      <c r="B942" s="370"/>
      <c r="C942" s="421"/>
      <c r="D942" s="370"/>
      <c r="H942" s="369"/>
      <c r="K942" s="369"/>
      <c r="L942" s="369"/>
    </row>
    <row r="943" spans="1:12" s="377" customFormat="1">
      <c r="A943" s="370"/>
      <c r="B943" s="370"/>
      <c r="C943" s="421"/>
      <c r="D943" s="370"/>
      <c r="H943" s="369"/>
      <c r="K943" s="369"/>
      <c r="L943" s="369"/>
    </row>
    <row r="944" spans="1:12" s="377" customFormat="1">
      <c r="A944" s="370"/>
      <c r="B944" s="370"/>
      <c r="C944" s="421"/>
      <c r="D944" s="370"/>
      <c r="H944" s="369"/>
      <c r="K944" s="369"/>
      <c r="L944" s="369"/>
    </row>
    <row r="945" spans="1:12" s="377" customFormat="1">
      <c r="A945" s="370"/>
      <c r="B945" s="370"/>
      <c r="C945" s="421"/>
      <c r="D945" s="370"/>
      <c r="H945" s="369"/>
      <c r="K945" s="369"/>
      <c r="L945" s="369"/>
    </row>
    <row r="946" spans="1:12" s="377" customFormat="1">
      <c r="A946" s="370"/>
      <c r="B946" s="370"/>
      <c r="C946" s="421"/>
      <c r="D946" s="370"/>
      <c r="H946" s="369"/>
      <c r="K946" s="369"/>
      <c r="L946" s="369"/>
    </row>
    <row r="947" spans="1:12" s="377" customFormat="1">
      <c r="A947" s="370"/>
      <c r="B947" s="370"/>
      <c r="C947" s="421"/>
      <c r="D947" s="370"/>
      <c r="H947" s="369"/>
      <c r="K947" s="369"/>
      <c r="L947" s="369"/>
    </row>
    <row r="948" spans="1:12" s="377" customFormat="1">
      <c r="A948" s="370"/>
      <c r="B948" s="370"/>
      <c r="C948" s="421"/>
      <c r="D948" s="370"/>
      <c r="H948" s="369"/>
      <c r="K948" s="369"/>
      <c r="L948" s="369"/>
    </row>
    <row r="949" spans="1:12" s="377" customFormat="1">
      <c r="A949" s="370"/>
      <c r="B949" s="370"/>
      <c r="C949" s="421"/>
      <c r="D949" s="370"/>
      <c r="H949" s="369"/>
      <c r="K949" s="369"/>
      <c r="L949" s="369"/>
    </row>
    <row r="950" spans="1:12" s="377" customFormat="1">
      <c r="A950" s="370"/>
      <c r="B950" s="370"/>
      <c r="C950" s="421"/>
      <c r="D950" s="370"/>
      <c r="H950" s="369"/>
      <c r="K950" s="369"/>
      <c r="L950" s="369"/>
    </row>
    <row r="951" spans="1:12" s="377" customFormat="1">
      <c r="A951" s="370"/>
      <c r="B951" s="370"/>
      <c r="C951" s="421"/>
      <c r="D951" s="370"/>
      <c r="H951" s="369"/>
      <c r="K951" s="369"/>
      <c r="L951" s="369"/>
    </row>
    <row r="952" spans="1:12" s="377" customFormat="1">
      <c r="A952" s="370"/>
      <c r="B952" s="370"/>
      <c r="C952" s="421"/>
      <c r="D952" s="370"/>
      <c r="H952" s="369"/>
      <c r="K952" s="369"/>
      <c r="L952" s="369"/>
    </row>
    <row r="953" spans="1:12" s="377" customFormat="1">
      <c r="A953" s="370"/>
      <c r="B953" s="370"/>
      <c r="C953" s="421"/>
      <c r="D953" s="370"/>
      <c r="H953" s="369"/>
      <c r="K953" s="369"/>
      <c r="L953" s="369"/>
    </row>
    <row r="954" spans="1:12" s="377" customFormat="1">
      <c r="A954" s="370"/>
      <c r="B954" s="370"/>
      <c r="C954" s="421"/>
      <c r="D954" s="370"/>
      <c r="H954" s="369"/>
      <c r="K954" s="369"/>
      <c r="L954" s="369"/>
    </row>
    <row r="955" spans="1:12" s="377" customFormat="1">
      <c r="A955" s="370"/>
      <c r="B955" s="370"/>
      <c r="C955" s="421"/>
      <c r="D955" s="370"/>
      <c r="H955" s="369"/>
      <c r="K955" s="369"/>
      <c r="L955" s="369"/>
    </row>
    <row r="956" spans="1:12" s="377" customFormat="1">
      <c r="A956" s="370"/>
      <c r="B956" s="370"/>
      <c r="C956" s="421"/>
      <c r="D956" s="370"/>
      <c r="H956" s="369"/>
      <c r="K956" s="369"/>
      <c r="L956" s="369"/>
    </row>
    <row r="957" spans="1:12" s="377" customFormat="1">
      <c r="A957" s="370"/>
      <c r="B957" s="370"/>
      <c r="C957" s="421"/>
      <c r="D957" s="370"/>
      <c r="H957" s="369"/>
      <c r="K957" s="369"/>
      <c r="L957" s="369"/>
    </row>
    <row r="958" spans="1:12" s="377" customFormat="1">
      <c r="A958" s="370"/>
      <c r="B958" s="370"/>
      <c r="C958" s="421"/>
      <c r="D958" s="370"/>
      <c r="H958" s="369"/>
      <c r="K958" s="369"/>
      <c r="L958" s="369"/>
    </row>
    <row r="959" spans="1:12" s="377" customFormat="1">
      <c r="A959" s="370"/>
      <c r="B959" s="370"/>
      <c r="C959" s="421"/>
      <c r="D959" s="370"/>
      <c r="H959" s="369"/>
      <c r="K959" s="369"/>
      <c r="L959" s="369"/>
    </row>
    <row r="960" spans="1:12" s="377" customFormat="1">
      <c r="A960" s="370"/>
      <c r="B960" s="370"/>
      <c r="C960" s="421"/>
      <c r="D960" s="370"/>
      <c r="H960" s="369"/>
      <c r="K960" s="369"/>
      <c r="L960" s="369"/>
    </row>
    <row r="961" spans="1:12" s="377" customFormat="1">
      <c r="A961" s="370"/>
      <c r="B961" s="370"/>
      <c r="C961" s="421"/>
      <c r="D961" s="370"/>
      <c r="H961" s="369"/>
      <c r="K961" s="369"/>
      <c r="L961" s="369"/>
    </row>
    <row r="962" spans="1:12" s="377" customFormat="1">
      <c r="A962" s="370"/>
      <c r="B962" s="370"/>
      <c r="C962" s="421"/>
      <c r="D962" s="370"/>
      <c r="H962" s="369"/>
      <c r="K962" s="369"/>
      <c r="L962" s="369"/>
    </row>
    <row r="963" spans="1:12" s="377" customFormat="1">
      <c r="A963" s="370"/>
      <c r="B963" s="370"/>
      <c r="C963" s="421"/>
      <c r="D963" s="370"/>
      <c r="H963" s="369"/>
      <c r="K963" s="369"/>
      <c r="L963" s="369"/>
    </row>
    <row r="964" spans="1:12" s="377" customFormat="1">
      <c r="A964" s="370"/>
      <c r="B964" s="370"/>
      <c r="C964" s="421"/>
      <c r="D964" s="370"/>
      <c r="H964" s="369"/>
      <c r="K964" s="369"/>
      <c r="L964" s="369"/>
    </row>
    <row r="965" spans="1:12" s="377" customFormat="1">
      <c r="A965" s="370"/>
      <c r="B965" s="370"/>
      <c r="C965" s="421"/>
      <c r="D965" s="370"/>
      <c r="H965" s="369"/>
      <c r="K965" s="369"/>
      <c r="L965" s="369"/>
    </row>
    <row r="966" spans="1:12" s="377" customFormat="1">
      <c r="A966" s="370"/>
      <c r="B966" s="370"/>
      <c r="C966" s="421"/>
      <c r="D966" s="370"/>
      <c r="H966" s="369"/>
      <c r="K966" s="369"/>
      <c r="L966" s="369"/>
    </row>
    <row r="967" spans="1:12" s="377" customFormat="1">
      <c r="A967" s="370"/>
      <c r="B967" s="370"/>
      <c r="C967" s="421"/>
      <c r="D967" s="370"/>
      <c r="H967" s="369"/>
      <c r="K967" s="369"/>
      <c r="L967" s="369"/>
    </row>
    <row r="968" spans="1:12" s="377" customFormat="1">
      <c r="A968" s="370"/>
      <c r="B968" s="370"/>
      <c r="C968" s="421"/>
      <c r="D968" s="370"/>
      <c r="H968" s="369"/>
      <c r="K968" s="369"/>
      <c r="L968" s="369"/>
    </row>
    <row r="969" spans="1:12" s="377" customFormat="1">
      <c r="A969" s="370"/>
      <c r="B969" s="370"/>
      <c r="C969" s="421"/>
      <c r="D969" s="370"/>
      <c r="H969" s="369"/>
      <c r="K969" s="369"/>
      <c r="L969" s="369"/>
    </row>
    <row r="970" spans="1:12" s="377" customFormat="1">
      <c r="A970" s="370"/>
      <c r="B970" s="370"/>
      <c r="C970" s="421"/>
      <c r="D970" s="370"/>
      <c r="H970" s="369"/>
      <c r="K970" s="369"/>
      <c r="L970" s="369"/>
    </row>
    <row r="971" spans="1:12" s="377" customFormat="1">
      <c r="A971" s="370"/>
      <c r="B971" s="370"/>
      <c r="C971" s="421"/>
      <c r="D971" s="370"/>
      <c r="H971" s="369"/>
      <c r="K971" s="369"/>
      <c r="L971" s="369"/>
    </row>
    <row r="972" spans="1:12" s="377" customFormat="1">
      <c r="A972" s="370"/>
      <c r="B972" s="370"/>
      <c r="C972" s="421"/>
      <c r="D972" s="370"/>
      <c r="H972" s="369"/>
      <c r="K972" s="369"/>
      <c r="L972" s="369"/>
    </row>
    <row r="973" spans="1:12" s="377" customFormat="1">
      <c r="A973" s="370"/>
      <c r="B973" s="370"/>
      <c r="C973" s="421"/>
      <c r="D973" s="370"/>
      <c r="H973" s="369"/>
      <c r="K973" s="369"/>
      <c r="L973" s="369"/>
    </row>
    <row r="974" spans="1:12" s="377" customFormat="1">
      <c r="A974" s="370"/>
      <c r="B974" s="370"/>
      <c r="C974" s="421"/>
      <c r="D974" s="370"/>
      <c r="H974" s="369"/>
      <c r="K974" s="369"/>
      <c r="L974" s="369"/>
    </row>
    <row r="975" spans="1:12" s="377" customFormat="1">
      <c r="A975" s="370"/>
      <c r="B975" s="370"/>
      <c r="C975" s="421"/>
      <c r="D975" s="370"/>
      <c r="H975" s="369"/>
      <c r="K975" s="369"/>
      <c r="L975" s="369"/>
    </row>
    <row r="976" spans="1:12" s="377" customFormat="1">
      <c r="A976" s="370"/>
      <c r="B976" s="370"/>
      <c r="C976" s="421"/>
      <c r="D976" s="370"/>
      <c r="H976" s="369"/>
      <c r="K976" s="369"/>
      <c r="L976" s="369"/>
    </row>
    <row r="977" spans="1:12" s="377" customFormat="1">
      <c r="A977" s="370"/>
      <c r="B977" s="370"/>
      <c r="C977" s="421"/>
      <c r="D977" s="370"/>
      <c r="H977" s="369"/>
      <c r="K977" s="369"/>
      <c r="L977" s="369"/>
    </row>
    <row r="978" spans="1:12" s="377" customFormat="1">
      <c r="A978" s="370"/>
      <c r="B978" s="370"/>
      <c r="C978" s="421"/>
      <c r="D978" s="370"/>
      <c r="H978" s="369"/>
      <c r="K978" s="369"/>
      <c r="L978" s="369"/>
    </row>
    <row r="979" spans="1:12" s="377" customFormat="1">
      <c r="A979" s="370"/>
      <c r="B979" s="370"/>
      <c r="C979" s="421"/>
      <c r="D979" s="370"/>
      <c r="H979" s="369"/>
      <c r="K979" s="369"/>
      <c r="L979" s="369"/>
    </row>
    <row r="980" spans="1:12" s="377" customFormat="1">
      <c r="A980" s="370"/>
      <c r="B980" s="370"/>
      <c r="C980" s="421"/>
      <c r="D980" s="370"/>
      <c r="H980" s="369"/>
      <c r="K980" s="369"/>
      <c r="L980" s="369"/>
    </row>
    <row r="981" spans="1:12" s="377" customFormat="1">
      <c r="A981" s="370"/>
      <c r="B981" s="370"/>
      <c r="C981" s="421"/>
      <c r="D981" s="370"/>
      <c r="H981" s="369"/>
      <c r="K981" s="369"/>
      <c r="L981" s="369"/>
    </row>
    <row r="982" spans="1:12" s="377" customFormat="1">
      <c r="A982" s="370"/>
      <c r="B982" s="370"/>
      <c r="C982" s="421"/>
      <c r="D982" s="370"/>
      <c r="H982" s="369"/>
      <c r="K982" s="369"/>
      <c r="L982" s="369"/>
    </row>
    <row r="983" spans="1:12" s="377" customFormat="1">
      <c r="A983" s="370"/>
      <c r="B983" s="370"/>
      <c r="C983" s="421"/>
      <c r="D983" s="370"/>
      <c r="H983" s="369"/>
      <c r="K983" s="369"/>
      <c r="L983" s="369"/>
    </row>
    <row r="984" spans="1:12" s="377" customFormat="1">
      <c r="A984" s="370"/>
      <c r="B984" s="370"/>
      <c r="C984" s="421"/>
      <c r="D984" s="370"/>
      <c r="H984" s="369"/>
      <c r="K984" s="369"/>
      <c r="L984" s="369"/>
    </row>
    <row r="985" spans="1:12" s="377" customFormat="1">
      <c r="A985" s="370"/>
      <c r="B985" s="370"/>
      <c r="C985" s="421"/>
      <c r="D985" s="370"/>
      <c r="H985" s="369"/>
      <c r="K985" s="369"/>
      <c r="L985" s="369"/>
    </row>
    <row r="986" spans="1:12" s="377" customFormat="1">
      <c r="A986" s="370"/>
      <c r="B986" s="370"/>
      <c r="C986" s="421"/>
      <c r="D986" s="370"/>
      <c r="H986" s="369"/>
      <c r="K986" s="369"/>
      <c r="L986" s="369"/>
    </row>
    <row r="987" spans="1:12" s="377" customFormat="1">
      <c r="A987" s="370"/>
      <c r="B987" s="370"/>
      <c r="C987" s="421"/>
      <c r="D987" s="370"/>
      <c r="H987" s="369"/>
      <c r="K987" s="369"/>
      <c r="L987" s="369"/>
    </row>
    <row r="988" spans="1:12" s="377" customFormat="1">
      <c r="A988" s="370"/>
      <c r="B988" s="370"/>
      <c r="C988" s="421"/>
      <c r="D988" s="370"/>
      <c r="H988" s="369"/>
      <c r="K988" s="369"/>
      <c r="L988" s="369"/>
    </row>
    <row r="989" spans="1:12" s="377" customFormat="1">
      <c r="A989" s="370"/>
      <c r="B989" s="370"/>
      <c r="C989" s="421"/>
      <c r="D989" s="370"/>
      <c r="H989" s="369"/>
      <c r="K989" s="369"/>
      <c r="L989" s="369"/>
    </row>
    <row r="990" spans="1:12" s="377" customFormat="1">
      <c r="A990" s="370"/>
      <c r="B990" s="370"/>
      <c r="C990" s="421"/>
      <c r="D990" s="370"/>
      <c r="H990" s="369"/>
      <c r="K990" s="369"/>
      <c r="L990" s="369"/>
    </row>
    <row r="991" spans="1:12" s="377" customFormat="1">
      <c r="A991" s="370"/>
      <c r="B991" s="370"/>
      <c r="C991" s="421"/>
      <c r="D991" s="370"/>
      <c r="H991" s="369"/>
      <c r="K991" s="369"/>
      <c r="L991" s="369"/>
    </row>
    <row r="992" spans="1:12" s="377" customFormat="1">
      <c r="A992" s="370"/>
      <c r="B992" s="370"/>
      <c r="C992" s="421"/>
      <c r="D992" s="370"/>
      <c r="H992" s="369"/>
      <c r="K992" s="369"/>
      <c r="L992" s="369"/>
    </row>
    <row r="993" spans="1:12" s="377" customFormat="1">
      <c r="A993" s="370"/>
      <c r="B993" s="370"/>
      <c r="C993" s="421"/>
      <c r="D993" s="370"/>
      <c r="H993" s="369"/>
      <c r="K993" s="369"/>
      <c r="L993" s="369"/>
    </row>
    <row r="994" spans="1:12" s="377" customFormat="1">
      <c r="A994" s="370"/>
      <c r="B994" s="370"/>
      <c r="C994" s="421"/>
      <c r="D994" s="370"/>
      <c r="H994" s="369"/>
      <c r="K994" s="369"/>
      <c r="L994" s="369"/>
    </row>
    <row r="995" spans="1:12" s="377" customFormat="1">
      <c r="A995" s="370"/>
      <c r="B995" s="370"/>
      <c r="C995" s="421"/>
      <c r="D995" s="370"/>
      <c r="H995" s="369"/>
      <c r="K995" s="369"/>
      <c r="L995" s="369"/>
    </row>
    <row r="996" spans="1:12" s="377" customFormat="1">
      <c r="A996" s="370"/>
      <c r="B996" s="370"/>
      <c r="C996" s="421"/>
      <c r="D996" s="370"/>
      <c r="H996" s="369"/>
      <c r="K996" s="369"/>
      <c r="L996" s="369"/>
    </row>
    <row r="997" spans="1:12" s="377" customFormat="1">
      <c r="A997" s="370"/>
      <c r="B997" s="370"/>
      <c r="C997" s="421"/>
      <c r="D997" s="370"/>
      <c r="H997" s="369"/>
      <c r="K997" s="369"/>
      <c r="L997" s="369"/>
    </row>
    <row r="998" spans="1:12" s="377" customFormat="1">
      <c r="A998" s="370"/>
      <c r="B998" s="370"/>
      <c r="C998" s="421"/>
      <c r="D998" s="370"/>
      <c r="H998" s="369"/>
      <c r="K998" s="369"/>
      <c r="L998" s="369"/>
    </row>
    <row r="999" spans="1:12" s="377" customFormat="1">
      <c r="A999" s="370"/>
      <c r="B999" s="370"/>
      <c r="C999" s="421"/>
      <c r="D999" s="370"/>
      <c r="H999" s="369"/>
      <c r="K999" s="369"/>
      <c r="L999" s="369"/>
    </row>
    <row r="1000" spans="1:12" s="377" customFormat="1">
      <c r="A1000" s="370"/>
      <c r="B1000" s="370"/>
      <c r="C1000" s="421"/>
      <c r="D1000" s="370"/>
      <c r="H1000" s="369"/>
      <c r="K1000" s="369"/>
      <c r="L1000" s="369"/>
    </row>
    <row r="1001" spans="1:12" s="377" customFormat="1">
      <c r="A1001" s="370"/>
      <c r="B1001" s="370"/>
      <c r="C1001" s="421"/>
      <c r="D1001" s="370"/>
      <c r="H1001" s="369"/>
      <c r="K1001" s="369"/>
      <c r="L1001" s="369"/>
    </row>
    <row r="1002" spans="1:12" s="377" customFormat="1">
      <c r="A1002" s="370"/>
      <c r="B1002" s="370"/>
      <c r="C1002" s="421"/>
      <c r="D1002" s="370"/>
      <c r="H1002" s="369"/>
      <c r="K1002" s="369"/>
      <c r="L1002" s="369"/>
    </row>
    <row r="1003" spans="1:12" s="377" customFormat="1">
      <c r="A1003" s="370"/>
      <c r="B1003" s="370"/>
      <c r="C1003" s="421"/>
      <c r="D1003" s="370"/>
      <c r="H1003" s="369"/>
      <c r="K1003" s="369"/>
      <c r="L1003" s="369"/>
    </row>
    <row r="1004" spans="1:12" s="377" customFormat="1">
      <c r="A1004" s="370"/>
      <c r="B1004" s="370"/>
      <c r="C1004" s="421"/>
      <c r="D1004" s="370"/>
      <c r="H1004" s="369"/>
      <c r="K1004" s="369"/>
      <c r="L1004" s="369"/>
    </row>
    <row r="1005" spans="1:12" s="377" customFormat="1">
      <c r="A1005" s="370"/>
      <c r="B1005" s="370"/>
      <c r="C1005" s="421"/>
      <c r="D1005" s="370"/>
      <c r="H1005" s="369"/>
      <c r="K1005" s="369"/>
      <c r="L1005" s="369"/>
    </row>
    <row r="1006" spans="1:12" s="377" customFormat="1">
      <c r="A1006" s="370"/>
      <c r="B1006" s="370"/>
      <c r="C1006" s="421"/>
      <c r="D1006" s="370"/>
      <c r="H1006" s="369"/>
      <c r="K1006" s="369"/>
      <c r="L1006" s="369"/>
    </row>
    <row r="1007" spans="1:12" s="377" customFormat="1">
      <c r="A1007" s="370"/>
      <c r="B1007" s="370"/>
      <c r="C1007" s="421"/>
      <c r="D1007" s="370"/>
      <c r="H1007" s="369"/>
      <c r="K1007" s="369"/>
      <c r="L1007" s="369"/>
    </row>
    <row r="1008" spans="1:12" s="377" customFormat="1">
      <c r="A1008" s="370"/>
      <c r="B1008" s="370"/>
      <c r="C1008" s="421"/>
      <c r="D1008" s="370"/>
      <c r="H1008" s="369"/>
      <c r="K1008" s="369"/>
      <c r="L1008" s="369"/>
    </row>
    <row r="1009" spans="1:12" s="377" customFormat="1">
      <c r="A1009" s="370"/>
      <c r="B1009" s="370"/>
      <c r="C1009" s="421"/>
      <c r="D1009" s="370"/>
      <c r="H1009" s="369"/>
      <c r="K1009" s="369"/>
      <c r="L1009" s="369"/>
    </row>
    <row r="1010" spans="1:12" s="377" customFormat="1">
      <c r="A1010" s="370"/>
      <c r="B1010" s="370"/>
      <c r="C1010" s="421"/>
      <c r="D1010" s="370"/>
      <c r="H1010" s="369"/>
      <c r="K1010" s="369"/>
      <c r="L1010" s="369"/>
    </row>
    <row r="1011" spans="1:12" s="377" customFormat="1">
      <c r="A1011" s="370"/>
      <c r="B1011" s="370"/>
      <c r="C1011" s="421"/>
      <c r="D1011" s="370"/>
      <c r="H1011" s="369"/>
      <c r="K1011" s="369"/>
      <c r="L1011" s="369"/>
    </row>
    <row r="1012" spans="1:12" s="377" customFormat="1">
      <c r="A1012" s="370"/>
      <c r="B1012" s="370"/>
      <c r="C1012" s="421"/>
      <c r="D1012" s="370"/>
      <c r="H1012" s="369"/>
      <c r="K1012" s="369"/>
      <c r="L1012" s="369"/>
    </row>
    <row r="1013" spans="1:12" s="377" customFormat="1">
      <c r="A1013" s="370"/>
      <c r="B1013" s="370"/>
      <c r="C1013" s="421"/>
      <c r="D1013" s="370"/>
      <c r="H1013" s="369"/>
      <c r="K1013" s="369"/>
      <c r="L1013" s="369"/>
    </row>
    <row r="1014" spans="1:12" s="377" customFormat="1">
      <c r="A1014" s="370"/>
      <c r="B1014" s="370"/>
      <c r="C1014" s="421"/>
      <c r="D1014" s="370"/>
      <c r="H1014" s="369"/>
      <c r="K1014" s="369"/>
      <c r="L1014" s="369"/>
    </row>
    <row r="1015" spans="1:12" s="377" customFormat="1">
      <c r="A1015" s="370"/>
      <c r="B1015" s="370"/>
      <c r="C1015" s="421"/>
      <c r="D1015" s="370"/>
      <c r="H1015" s="369"/>
      <c r="K1015" s="369"/>
      <c r="L1015" s="369"/>
    </row>
    <row r="1016" spans="1:12" s="377" customFormat="1">
      <c r="A1016" s="370"/>
      <c r="B1016" s="370"/>
      <c r="C1016" s="421"/>
      <c r="D1016" s="370"/>
      <c r="H1016" s="369"/>
      <c r="K1016" s="369"/>
      <c r="L1016" s="369"/>
    </row>
    <row r="1017" spans="1:12" s="377" customFormat="1">
      <c r="A1017" s="370"/>
      <c r="B1017" s="370"/>
      <c r="C1017" s="421"/>
      <c r="D1017" s="370"/>
      <c r="H1017" s="369"/>
      <c r="K1017" s="369"/>
      <c r="L1017" s="369"/>
    </row>
    <row r="1018" spans="1:12" s="377" customFormat="1">
      <c r="A1018" s="370"/>
      <c r="B1018" s="370"/>
      <c r="C1018" s="421"/>
      <c r="D1018" s="370"/>
      <c r="H1018" s="369"/>
      <c r="K1018" s="369"/>
      <c r="L1018" s="369"/>
    </row>
    <row r="1019" spans="1:12" s="377" customFormat="1">
      <c r="A1019" s="370"/>
      <c r="B1019" s="370"/>
      <c r="C1019" s="421"/>
      <c r="D1019" s="370"/>
      <c r="H1019" s="369"/>
      <c r="K1019" s="369"/>
      <c r="L1019" s="369"/>
    </row>
    <row r="1020" spans="1:12" s="377" customFormat="1">
      <c r="A1020" s="370"/>
      <c r="B1020" s="370"/>
      <c r="C1020" s="421"/>
      <c r="D1020" s="370"/>
      <c r="H1020" s="369"/>
      <c r="K1020" s="369"/>
      <c r="L1020" s="369"/>
    </row>
    <row r="1021" spans="1:12" s="377" customFormat="1">
      <c r="A1021" s="370"/>
      <c r="B1021" s="370"/>
      <c r="C1021" s="421"/>
      <c r="D1021" s="370"/>
      <c r="H1021" s="369"/>
      <c r="K1021" s="369"/>
      <c r="L1021" s="369"/>
    </row>
    <row r="1022" spans="1:12" s="377" customFormat="1">
      <c r="A1022" s="370"/>
      <c r="B1022" s="370"/>
      <c r="C1022" s="421"/>
      <c r="D1022" s="370"/>
      <c r="H1022" s="369"/>
      <c r="K1022" s="369"/>
      <c r="L1022" s="369"/>
    </row>
    <row r="1023" spans="1:12" s="377" customFormat="1">
      <c r="A1023" s="370"/>
      <c r="B1023" s="370"/>
      <c r="C1023" s="421"/>
      <c r="D1023" s="370"/>
      <c r="H1023" s="369"/>
      <c r="K1023" s="369"/>
      <c r="L1023" s="369"/>
    </row>
    <row r="1024" spans="1:12" s="377" customFormat="1">
      <c r="A1024" s="370"/>
      <c r="B1024" s="370"/>
      <c r="C1024" s="421"/>
      <c r="D1024" s="370"/>
      <c r="H1024" s="369"/>
      <c r="K1024" s="369"/>
      <c r="L1024" s="369"/>
    </row>
    <row r="1025" spans="1:12" s="377" customFormat="1">
      <c r="A1025" s="370"/>
      <c r="B1025" s="370"/>
      <c r="C1025" s="421"/>
      <c r="D1025" s="370"/>
      <c r="H1025" s="369"/>
      <c r="K1025" s="369"/>
      <c r="L1025" s="369"/>
    </row>
    <row r="1026" spans="1:12" s="377" customFormat="1">
      <c r="A1026" s="370"/>
      <c r="B1026" s="370"/>
      <c r="C1026" s="421"/>
      <c r="D1026" s="370"/>
      <c r="H1026" s="369"/>
      <c r="K1026" s="369"/>
      <c r="L1026" s="369"/>
    </row>
    <row r="1027" spans="1:12" s="377" customFormat="1">
      <c r="A1027" s="370"/>
      <c r="B1027" s="370"/>
      <c r="C1027" s="421"/>
      <c r="D1027" s="370"/>
      <c r="H1027" s="369"/>
      <c r="K1027" s="369"/>
      <c r="L1027" s="369"/>
    </row>
    <row r="1028" spans="1:12" s="377" customFormat="1">
      <c r="A1028" s="370"/>
      <c r="B1028" s="370"/>
      <c r="C1028" s="421"/>
      <c r="D1028" s="370"/>
      <c r="H1028" s="369"/>
      <c r="K1028" s="369"/>
      <c r="L1028" s="369"/>
    </row>
    <row r="1029" spans="1:12" s="377" customFormat="1">
      <c r="A1029" s="370"/>
      <c r="B1029" s="370"/>
      <c r="C1029" s="421"/>
      <c r="D1029" s="370"/>
      <c r="H1029" s="369"/>
      <c r="K1029" s="369"/>
      <c r="L1029" s="369"/>
    </row>
    <row r="1030" spans="1:12" s="377" customFormat="1">
      <c r="A1030" s="370"/>
      <c r="B1030" s="370"/>
      <c r="C1030" s="421"/>
      <c r="D1030" s="370"/>
      <c r="H1030" s="369"/>
      <c r="K1030" s="369"/>
      <c r="L1030" s="369"/>
    </row>
    <row r="1031" spans="1:12" s="377" customFormat="1">
      <c r="A1031" s="370"/>
      <c r="B1031" s="370"/>
      <c r="C1031" s="421"/>
      <c r="D1031" s="370"/>
      <c r="H1031" s="369"/>
      <c r="K1031" s="369"/>
      <c r="L1031" s="369"/>
    </row>
    <row r="1032" spans="1:12" s="377" customFormat="1">
      <c r="A1032" s="370"/>
      <c r="B1032" s="370"/>
      <c r="C1032" s="421"/>
      <c r="D1032" s="370"/>
      <c r="H1032" s="369"/>
      <c r="K1032" s="369"/>
      <c r="L1032" s="369"/>
    </row>
    <row r="1033" spans="1:12" s="377" customFormat="1">
      <c r="A1033" s="370"/>
      <c r="B1033" s="370"/>
      <c r="C1033" s="421"/>
      <c r="D1033" s="370"/>
      <c r="H1033" s="369"/>
      <c r="K1033" s="369"/>
      <c r="L1033" s="369"/>
    </row>
    <row r="1034" spans="1:12" s="377" customFormat="1">
      <c r="A1034" s="370"/>
      <c r="B1034" s="370"/>
      <c r="C1034" s="421"/>
      <c r="D1034" s="370"/>
      <c r="H1034" s="369"/>
      <c r="K1034" s="369"/>
      <c r="L1034" s="369"/>
    </row>
    <row r="1035" spans="1:12" s="377" customFormat="1">
      <c r="A1035" s="370"/>
      <c r="B1035" s="370"/>
      <c r="C1035" s="421"/>
      <c r="D1035" s="370"/>
      <c r="H1035" s="369"/>
      <c r="K1035" s="369"/>
      <c r="L1035" s="369"/>
    </row>
  </sheetData>
  <mergeCells count="267">
    <mergeCell ref="A498:C498"/>
    <mergeCell ref="A501:C501"/>
    <mergeCell ref="A490:A495"/>
    <mergeCell ref="B491:C491"/>
    <mergeCell ref="B492:B494"/>
    <mergeCell ref="B495:C495"/>
    <mergeCell ref="A496:C496"/>
    <mergeCell ref="A497:C497"/>
    <mergeCell ref="B478:C478"/>
    <mergeCell ref="B479:C479"/>
    <mergeCell ref="B482:C482"/>
    <mergeCell ref="B484:C484"/>
    <mergeCell ref="A485:A488"/>
    <mergeCell ref="B486:C486"/>
    <mergeCell ref="B488:C488"/>
    <mergeCell ref="B464:C464"/>
    <mergeCell ref="B466:C466"/>
    <mergeCell ref="B468:C468"/>
    <mergeCell ref="B469:C469"/>
    <mergeCell ref="A471:A475"/>
    <mergeCell ref="B472:C472"/>
    <mergeCell ref="B473:B474"/>
    <mergeCell ref="B475:C475"/>
    <mergeCell ref="B451:C451"/>
    <mergeCell ref="B453:C453"/>
    <mergeCell ref="B455:C455"/>
    <mergeCell ref="B457:C457"/>
    <mergeCell ref="B460:C460"/>
    <mergeCell ref="B462:C462"/>
    <mergeCell ref="A433:A457"/>
    <mergeCell ref="B434:C434"/>
    <mergeCell ref="B436:C436"/>
    <mergeCell ref="B438:C438"/>
    <mergeCell ref="B439:B442"/>
    <mergeCell ref="B443:C443"/>
    <mergeCell ref="B445:C445"/>
    <mergeCell ref="B446:B448"/>
    <mergeCell ref="C446:C448"/>
    <mergeCell ref="B449:C449"/>
    <mergeCell ref="B422:C422"/>
    <mergeCell ref="B424:C424"/>
    <mergeCell ref="B426:C426"/>
    <mergeCell ref="B428:C428"/>
    <mergeCell ref="B430:C430"/>
    <mergeCell ref="B432:C432"/>
    <mergeCell ref="B409:C409"/>
    <mergeCell ref="B411:C411"/>
    <mergeCell ref="B413:C413"/>
    <mergeCell ref="B415:C415"/>
    <mergeCell ref="B416:B418"/>
    <mergeCell ref="B419:C419"/>
    <mergeCell ref="D397:D398"/>
    <mergeCell ref="D399:D400"/>
    <mergeCell ref="B401:C401"/>
    <mergeCell ref="B405:C405"/>
    <mergeCell ref="B406:B408"/>
    <mergeCell ref="C406:C407"/>
    <mergeCell ref="A383:A390"/>
    <mergeCell ref="B384:C384"/>
    <mergeCell ref="B385:B389"/>
    <mergeCell ref="B390:C390"/>
    <mergeCell ref="B393:C393"/>
    <mergeCell ref="B394:B400"/>
    <mergeCell ref="B366:B372"/>
    <mergeCell ref="B373:C373"/>
    <mergeCell ref="B374:B375"/>
    <mergeCell ref="B378:C378"/>
    <mergeCell ref="B379:B380"/>
    <mergeCell ref="B381:C381"/>
    <mergeCell ref="B357:C357"/>
    <mergeCell ref="B359:C359"/>
    <mergeCell ref="B360:B362"/>
    <mergeCell ref="C360:C362"/>
    <mergeCell ref="B363:C363"/>
    <mergeCell ref="B365:C365"/>
    <mergeCell ref="B352:C352"/>
    <mergeCell ref="B355:C355"/>
    <mergeCell ref="B327:C327"/>
    <mergeCell ref="B331:C331"/>
    <mergeCell ref="B333:C333"/>
    <mergeCell ref="B336:C336"/>
    <mergeCell ref="B337:C337"/>
    <mergeCell ref="A340:A342"/>
    <mergeCell ref="B341:C341"/>
    <mergeCell ref="B342:C342"/>
    <mergeCell ref="B323:C323"/>
    <mergeCell ref="C302:C303"/>
    <mergeCell ref="B304:C304"/>
    <mergeCell ref="B306:C306"/>
    <mergeCell ref="B307:B314"/>
    <mergeCell ref="A345:A348"/>
    <mergeCell ref="B346:C346"/>
    <mergeCell ref="B348:C348"/>
    <mergeCell ref="B350:C350"/>
    <mergeCell ref="D307:D310"/>
    <mergeCell ref="D311:D312"/>
    <mergeCell ref="D313:D314"/>
    <mergeCell ref="B280:C280"/>
    <mergeCell ref="B281:B285"/>
    <mergeCell ref="B286:C286"/>
    <mergeCell ref="A292:A321"/>
    <mergeCell ref="B293:C293"/>
    <mergeCell ref="B295:C295"/>
    <mergeCell ref="B297:C297"/>
    <mergeCell ref="B299:C299"/>
    <mergeCell ref="B301:C301"/>
    <mergeCell ref="B302:B303"/>
    <mergeCell ref="B315:C315"/>
    <mergeCell ref="B317:C317"/>
    <mergeCell ref="B318:B320"/>
    <mergeCell ref="C318:C320"/>
    <mergeCell ref="B321:C321"/>
    <mergeCell ref="B265:C265"/>
    <mergeCell ref="B267:C267"/>
    <mergeCell ref="B268:B271"/>
    <mergeCell ref="D270:D271"/>
    <mergeCell ref="B272:C272"/>
    <mergeCell ref="B273:B278"/>
    <mergeCell ref="D275:D276"/>
    <mergeCell ref="D277:D278"/>
    <mergeCell ref="A245:A289"/>
    <mergeCell ref="B246:C246"/>
    <mergeCell ref="B248:C248"/>
    <mergeCell ref="B250:C250"/>
    <mergeCell ref="B252:C252"/>
    <mergeCell ref="B255:C255"/>
    <mergeCell ref="B257:C257"/>
    <mergeCell ref="B259:C259"/>
    <mergeCell ref="B261:C261"/>
    <mergeCell ref="B263:C263"/>
    <mergeCell ref="B221:B225"/>
    <mergeCell ref="B228:C228"/>
    <mergeCell ref="B230:C230"/>
    <mergeCell ref="A232:A243"/>
    <mergeCell ref="B233:C233"/>
    <mergeCell ref="B234:B237"/>
    <mergeCell ref="B238:C238"/>
    <mergeCell ref="B240:C240"/>
    <mergeCell ref="B241:B242"/>
    <mergeCell ref="B243:C243"/>
    <mergeCell ref="A198:A220"/>
    <mergeCell ref="B199:C199"/>
    <mergeCell ref="B200:B219"/>
    <mergeCell ref="B220:C220"/>
    <mergeCell ref="B176:B177"/>
    <mergeCell ref="B178:C178"/>
    <mergeCell ref="B180:C180"/>
    <mergeCell ref="B182:B187"/>
    <mergeCell ref="D182:D185"/>
    <mergeCell ref="D186:D187"/>
    <mergeCell ref="D200:D201"/>
    <mergeCell ref="D202:D204"/>
    <mergeCell ref="D205:D209"/>
    <mergeCell ref="D210:D211"/>
    <mergeCell ref="D212:D214"/>
    <mergeCell ref="D215:D218"/>
    <mergeCell ref="B188:C188"/>
    <mergeCell ref="B190:C190"/>
    <mergeCell ref="B192:C192"/>
    <mergeCell ref="B195:C195"/>
    <mergeCell ref="B197:C197"/>
    <mergeCell ref="A161:A165"/>
    <mergeCell ref="B162:C162"/>
    <mergeCell ref="B163:B164"/>
    <mergeCell ref="B165:C165"/>
    <mergeCell ref="A166:A178"/>
    <mergeCell ref="B167:C167"/>
    <mergeCell ref="B168:B172"/>
    <mergeCell ref="C168:C171"/>
    <mergeCell ref="B173:C173"/>
    <mergeCell ref="B175:C175"/>
    <mergeCell ref="A148:A152"/>
    <mergeCell ref="B149:C149"/>
    <mergeCell ref="B151:C151"/>
    <mergeCell ref="A154:A159"/>
    <mergeCell ref="B155:C155"/>
    <mergeCell ref="B156:B158"/>
    <mergeCell ref="B159:C159"/>
    <mergeCell ref="B137:C137"/>
    <mergeCell ref="B139:C139"/>
    <mergeCell ref="B141:C141"/>
    <mergeCell ref="B142:B145"/>
    <mergeCell ref="C142:C143"/>
    <mergeCell ref="B146:C146"/>
    <mergeCell ref="A120:A128"/>
    <mergeCell ref="B121:C121"/>
    <mergeCell ref="B122:B125"/>
    <mergeCell ref="B126:C126"/>
    <mergeCell ref="B127:B128"/>
    <mergeCell ref="A130:A146"/>
    <mergeCell ref="B131:C131"/>
    <mergeCell ref="B132:B134"/>
    <mergeCell ref="C132:C134"/>
    <mergeCell ref="B135:C135"/>
    <mergeCell ref="A111:A114"/>
    <mergeCell ref="B112:C112"/>
    <mergeCell ref="B114:C114"/>
    <mergeCell ref="A115:A118"/>
    <mergeCell ref="B116:C116"/>
    <mergeCell ref="B118:C118"/>
    <mergeCell ref="D92:D93"/>
    <mergeCell ref="B96:C96"/>
    <mergeCell ref="B97:B103"/>
    <mergeCell ref="B105:C105"/>
    <mergeCell ref="B106:B108"/>
    <mergeCell ref="B109:C109"/>
    <mergeCell ref="B83:C83"/>
    <mergeCell ref="B85:C85"/>
    <mergeCell ref="B87:C87"/>
    <mergeCell ref="B89:C89"/>
    <mergeCell ref="B90:B95"/>
    <mergeCell ref="C90:C91"/>
    <mergeCell ref="B60:C60"/>
    <mergeCell ref="A63:A109"/>
    <mergeCell ref="B64:C64"/>
    <mergeCell ref="B65:B69"/>
    <mergeCell ref="B70:C70"/>
    <mergeCell ref="B71:B72"/>
    <mergeCell ref="B74:C74"/>
    <mergeCell ref="B76:C76"/>
    <mergeCell ref="B79:C79"/>
    <mergeCell ref="B80:B82"/>
    <mergeCell ref="B56:C56"/>
    <mergeCell ref="B57:B59"/>
    <mergeCell ref="C58:C59"/>
    <mergeCell ref="B39:C39"/>
    <mergeCell ref="B40:B41"/>
    <mergeCell ref="B42:C42"/>
    <mergeCell ref="A44:A48"/>
    <mergeCell ref="B45:C45"/>
    <mergeCell ref="B46:B47"/>
    <mergeCell ref="B48:C48"/>
    <mergeCell ref="B35:C35"/>
    <mergeCell ref="B37:C37"/>
    <mergeCell ref="B18:C18"/>
    <mergeCell ref="B19:B21"/>
    <mergeCell ref="B22:C22"/>
    <mergeCell ref="B23:B24"/>
    <mergeCell ref="A50:A53"/>
    <mergeCell ref="B51:C51"/>
    <mergeCell ref="B53:C53"/>
    <mergeCell ref="D23:D24"/>
    <mergeCell ref="B26:C26"/>
    <mergeCell ref="H7:H8"/>
    <mergeCell ref="I7:I8"/>
    <mergeCell ref="J7:J8"/>
    <mergeCell ref="K7:K8"/>
    <mergeCell ref="L7:L8"/>
    <mergeCell ref="A11:A33"/>
    <mergeCell ref="B12:C12"/>
    <mergeCell ref="B13:B15"/>
    <mergeCell ref="C13:C15"/>
    <mergeCell ref="B16:C16"/>
    <mergeCell ref="B27:B28"/>
    <mergeCell ref="B29:C29"/>
    <mergeCell ref="B31:C31"/>
    <mergeCell ref="B33:C33"/>
    <mergeCell ref="D1:J1"/>
    <mergeCell ref="D2:E3"/>
    <mergeCell ref="A4:K4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  <rowBreaks count="6" manualBreakCount="6">
    <brk id="53" max="9" man="1"/>
    <brk id="109" max="9" man="1"/>
    <brk id="178" max="9" man="1"/>
    <brk id="257" max="9" man="1"/>
    <brk id="363" max="9" man="1"/>
    <brk id="488" max="9" man="1"/>
  </rowBreaks>
  <colBreaks count="1" manualBreakCount="1">
    <brk id="10" max="50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J2317"/>
  <sheetViews>
    <sheetView showGridLines="0" view="pageBreakPreview" topLeftCell="A2283" zoomScale="85" zoomScaleNormal="110" zoomScaleSheetLayoutView="85" workbookViewId="0">
      <selection activeCell="J2293" sqref="J2293"/>
    </sheetView>
  </sheetViews>
  <sheetFormatPr defaultRowHeight="12.75"/>
  <cols>
    <col min="1" max="1" width="7" style="532" customWidth="1"/>
    <col min="2" max="2" width="8" style="532" customWidth="1"/>
    <col min="3" max="3" width="10.5703125" style="532" customWidth="1"/>
    <col min="4" max="4" width="62.28515625" style="532" customWidth="1"/>
    <col min="5" max="5" width="1.140625" style="532" hidden="1" customWidth="1"/>
    <col min="6" max="6" width="19.7109375" style="532" customWidth="1"/>
    <col min="7" max="7" width="1.5703125" style="533" hidden="1" customWidth="1"/>
    <col min="8" max="8" width="15.5703125" style="534" bestFit="1" customWidth="1"/>
    <col min="9" max="9" width="13.85546875" style="532" customWidth="1"/>
    <col min="10" max="10" width="11.140625" style="532" customWidth="1"/>
    <col min="11" max="16384" width="9.140625" style="532"/>
  </cols>
  <sheetData>
    <row r="1" spans="1:8" ht="86.25" customHeight="1">
      <c r="A1" s="1411"/>
      <c r="B1" s="1411"/>
      <c r="C1" s="1411"/>
      <c r="D1" s="1411"/>
      <c r="E1" s="1411"/>
      <c r="F1" s="1412" t="s">
        <v>1275</v>
      </c>
      <c r="G1" s="1411"/>
    </row>
    <row r="2" spans="1:8" ht="13.5" customHeight="1">
      <c r="A2" s="1411"/>
      <c r="B2" s="1411"/>
      <c r="C2" s="1411"/>
      <c r="D2" s="1411"/>
      <c r="E2" s="1411"/>
      <c r="F2" s="1411"/>
      <c r="G2" s="1411"/>
    </row>
    <row r="3" spans="1:8" ht="7.5" customHeight="1">
      <c r="A3" s="2769" t="s">
        <v>1026</v>
      </c>
      <c r="B3" s="2769"/>
      <c r="C3" s="2769"/>
      <c r="D3" s="2769"/>
      <c r="E3" s="2769"/>
      <c r="F3" s="2769"/>
      <c r="G3" s="1411"/>
    </row>
    <row r="4" spans="1:8" ht="27" customHeight="1">
      <c r="A4" s="2769"/>
      <c r="B4" s="2769"/>
      <c r="C4" s="2769"/>
      <c r="D4" s="2769"/>
      <c r="E4" s="2769"/>
      <c r="F4" s="2769"/>
      <c r="G4" s="1411"/>
    </row>
    <row r="5" spans="1:8" s="535" customFormat="1" ht="10.5" customHeight="1" thickBot="1">
      <c r="A5" s="2770"/>
      <c r="B5" s="2770"/>
      <c r="C5" s="2770"/>
      <c r="D5" s="2770"/>
      <c r="E5" s="2770"/>
      <c r="F5" s="2770"/>
      <c r="G5" s="1413" t="s">
        <v>21</v>
      </c>
      <c r="H5" s="536"/>
    </row>
    <row r="6" spans="1:8" ht="41.25" customHeight="1" thickBot="1">
      <c r="A6" s="537" t="s">
        <v>0</v>
      </c>
      <c r="B6" s="538" t="s">
        <v>1</v>
      </c>
      <c r="C6" s="539" t="s">
        <v>5</v>
      </c>
      <c r="D6" s="538" t="s">
        <v>466</v>
      </c>
      <c r="E6" s="540" t="s">
        <v>1027</v>
      </c>
      <c r="F6" s="540" t="s">
        <v>968</v>
      </c>
      <c r="G6" s="1414" t="s">
        <v>467</v>
      </c>
    </row>
    <row r="7" spans="1:8" ht="17.100000000000001" customHeight="1" thickBot="1">
      <c r="A7" s="541" t="s">
        <v>210</v>
      </c>
      <c r="B7" s="542" t="s">
        <v>211</v>
      </c>
      <c r="C7" s="543" t="s">
        <v>212</v>
      </c>
      <c r="D7" s="541" t="s">
        <v>213</v>
      </c>
      <c r="E7" s="544" t="s">
        <v>214</v>
      </c>
      <c r="F7" s="544" t="s">
        <v>214</v>
      </c>
      <c r="G7" s="1415" t="s">
        <v>215</v>
      </c>
    </row>
    <row r="8" spans="1:8" ht="17.100000000000001" customHeight="1" thickBot="1">
      <c r="A8" s="545" t="s">
        <v>109</v>
      </c>
      <c r="B8" s="546"/>
      <c r="C8" s="1416"/>
      <c r="D8" s="1417" t="s">
        <v>468</v>
      </c>
      <c r="E8" s="547">
        <f>SUM(E9,E45,E70,E100,E133,E153,E149)</f>
        <v>37359289</v>
      </c>
      <c r="F8" s="547">
        <f t="shared" ref="F8" si="0">SUM(F9,F45,F70,F100,F133,F153,F149)</f>
        <v>36702893</v>
      </c>
      <c r="G8" s="1418">
        <f>F8/E8</f>
        <v>0.98243017954651113</v>
      </c>
    </row>
    <row r="9" spans="1:8" ht="17.100000000000001" customHeight="1" thickBot="1">
      <c r="A9" s="548"/>
      <c r="B9" s="1419" t="s">
        <v>217</v>
      </c>
      <c r="C9" s="1420"/>
      <c r="D9" s="1421" t="s">
        <v>469</v>
      </c>
      <c r="E9" s="1422">
        <f>E10+E42</f>
        <v>11945953</v>
      </c>
      <c r="F9" s="1422">
        <f t="shared" ref="F9" si="1">F10+F42</f>
        <v>15004238</v>
      </c>
      <c r="G9" s="1423">
        <f t="shared" ref="G9:G72" si="2">F9/E9</f>
        <v>1.2560101316320262</v>
      </c>
    </row>
    <row r="10" spans="1:8" ht="17.100000000000001" customHeight="1">
      <c r="A10" s="548"/>
      <c r="B10" s="2771"/>
      <c r="C10" s="2768" t="s">
        <v>470</v>
      </c>
      <c r="D10" s="2768"/>
      <c r="E10" s="549">
        <f>E11+E39</f>
        <v>11735953</v>
      </c>
      <c r="F10" s="549">
        <f t="shared" ref="F10" si="3">F11+F39</f>
        <v>14602238</v>
      </c>
      <c r="G10" s="1424">
        <f t="shared" si="2"/>
        <v>1.2442311246474829</v>
      </c>
    </row>
    <row r="11" spans="1:8" ht="17.100000000000001" customHeight="1">
      <c r="A11" s="548"/>
      <c r="B11" s="2771"/>
      <c r="C11" s="2772" t="s">
        <v>471</v>
      </c>
      <c r="D11" s="2772"/>
      <c r="E11" s="1425">
        <f>E12+E19</f>
        <v>11624408</v>
      </c>
      <c r="F11" s="1425">
        <f t="shared" ref="F11" si="4">F12+F19</f>
        <v>14492950</v>
      </c>
      <c r="G11" s="1426">
        <f t="shared" si="2"/>
        <v>1.2467688677135214</v>
      </c>
    </row>
    <row r="12" spans="1:8" ht="17.100000000000001" customHeight="1">
      <c r="A12" s="548"/>
      <c r="B12" s="2771"/>
      <c r="C12" s="2773" t="s">
        <v>472</v>
      </c>
      <c r="D12" s="2773"/>
      <c r="E12" s="1427">
        <f>SUM(E13:E17)</f>
        <v>9540020</v>
      </c>
      <c r="F12" s="1427">
        <f>SUM(F13:F17)</f>
        <v>11273182</v>
      </c>
      <c r="G12" s="1428">
        <f>F12/E12</f>
        <v>1.1816727847530717</v>
      </c>
    </row>
    <row r="13" spans="1:8" ht="17.100000000000001" customHeight="1">
      <c r="A13" s="548"/>
      <c r="B13" s="746"/>
      <c r="C13" s="1429" t="s">
        <v>473</v>
      </c>
      <c r="D13" s="1430" t="s">
        <v>474</v>
      </c>
      <c r="E13" s="1431">
        <v>7362519</v>
      </c>
      <c r="F13" s="1431">
        <v>8661200</v>
      </c>
      <c r="G13" s="1426">
        <f t="shared" si="2"/>
        <v>1.1763908520983104</v>
      </c>
    </row>
    <row r="14" spans="1:8" ht="17.100000000000001" customHeight="1">
      <c r="A14" s="548"/>
      <c r="B14" s="746"/>
      <c r="C14" s="1429" t="s">
        <v>475</v>
      </c>
      <c r="D14" s="1430" t="s">
        <v>476</v>
      </c>
      <c r="E14" s="1431">
        <v>520333</v>
      </c>
      <c r="F14" s="1431">
        <v>664793</v>
      </c>
      <c r="G14" s="1426">
        <f t="shared" si="2"/>
        <v>1.2776299023894313</v>
      </c>
    </row>
    <row r="15" spans="1:8" ht="17.100000000000001" customHeight="1">
      <c r="A15" s="548"/>
      <c r="B15" s="746"/>
      <c r="C15" s="1429" t="s">
        <v>477</v>
      </c>
      <c r="D15" s="1430" t="s">
        <v>478</v>
      </c>
      <c r="E15" s="1431">
        <v>1364478</v>
      </c>
      <c r="F15" s="1431">
        <v>1560580</v>
      </c>
      <c r="G15" s="1426">
        <f t="shared" si="2"/>
        <v>1.1437194297013218</v>
      </c>
    </row>
    <row r="16" spans="1:8" ht="26.25" customHeight="1">
      <c r="A16" s="548"/>
      <c r="B16" s="746"/>
      <c r="C16" s="1429" t="s">
        <v>479</v>
      </c>
      <c r="D16" s="1430" t="s">
        <v>1028</v>
      </c>
      <c r="E16" s="1431">
        <v>147137</v>
      </c>
      <c r="F16" s="1431">
        <v>166610</v>
      </c>
      <c r="G16" s="1426">
        <f t="shared" si="2"/>
        <v>1.1323460448425617</v>
      </c>
    </row>
    <row r="17" spans="1:7" ht="17.100000000000001" customHeight="1">
      <c r="A17" s="548"/>
      <c r="B17" s="746"/>
      <c r="C17" s="1429" t="s">
        <v>481</v>
      </c>
      <c r="D17" s="1430" t="s">
        <v>482</v>
      </c>
      <c r="E17" s="1431">
        <v>145553</v>
      </c>
      <c r="F17" s="1431">
        <v>219999</v>
      </c>
      <c r="G17" s="1426">
        <f t="shared" si="2"/>
        <v>1.5114700487107788</v>
      </c>
    </row>
    <row r="18" spans="1:7" ht="17.100000000000001" customHeight="1">
      <c r="A18" s="548"/>
      <c r="B18" s="746"/>
      <c r="C18" s="1432"/>
      <c r="D18" s="1432"/>
      <c r="E18" s="550"/>
      <c r="F18" s="550"/>
      <c r="G18" s="1433"/>
    </row>
    <row r="19" spans="1:7" ht="17.100000000000001" customHeight="1">
      <c r="A19" s="548"/>
      <c r="B19" s="746"/>
      <c r="C19" s="2774" t="s">
        <v>483</v>
      </c>
      <c r="D19" s="2774"/>
      <c r="E19" s="1427">
        <f>SUM(E20:E37)</f>
        <v>2084388</v>
      </c>
      <c r="F19" s="1427">
        <f>SUM(F20:F37)</f>
        <v>3219768</v>
      </c>
      <c r="G19" s="1428">
        <f t="shared" si="2"/>
        <v>1.5447066477066649</v>
      </c>
    </row>
    <row r="20" spans="1:7" ht="17.100000000000001" customHeight="1">
      <c r="A20" s="548"/>
      <c r="B20" s="746"/>
      <c r="C20" s="1429" t="s">
        <v>484</v>
      </c>
      <c r="D20" s="1430" t="s">
        <v>485</v>
      </c>
      <c r="E20" s="1431">
        <v>95000</v>
      </c>
      <c r="F20" s="1431">
        <v>120000</v>
      </c>
      <c r="G20" s="1426">
        <f t="shared" si="2"/>
        <v>1.263157894736842</v>
      </c>
    </row>
    <row r="21" spans="1:7" ht="17.100000000000001" customHeight="1">
      <c r="A21" s="548"/>
      <c r="B21" s="746"/>
      <c r="C21" s="1429" t="s">
        <v>486</v>
      </c>
      <c r="D21" s="1430" t="s">
        <v>487</v>
      </c>
      <c r="E21" s="1431">
        <v>896907</v>
      </c>
      <c r="F21" s="1431">
        <v>1785880</v>
      </c>
      <c r="G21" s="1426">
        <f t="shared" si="2"/>
        <v>1.9911540438417807</v>
      </c>
    </row>
    <row r="22" spans="1:7" ht="17.100000000000001" customHeight="1">
      <c r="A22" s="548"/>
      <c r="B22" s="746"/>
      <c r="C22" s="1429" t="s">
        <v>488</v>
      </c>
      <c r="D22" s="1430" t="s">
        <v>489</v>
      </c>
      <c r="E22" s="1431">
        <v>4000</v>
      </c>
      <c r="F22" s="1431">
        <v>5000</v>
      </c>
      <c r="G22" s="1426">
        <f t="shared" si="2"/>
        <v>1.25</v>
      </c>
    </row>
    <row r="23" spans="1:7" ht="17.100000000000001" customHeight="1">
      <c r="A23" s="548"/>
      <c r="B23" s="746"/>
      <c r="C23" s="1429" t="s">
        <v>490</v>
      </c>
      <c r="D23" s="1430" t="s">
        <v>491</v>
      </c>
      <c r="E23" s="1431">
        <v>114035</v>
      </c>
      <c r="F23" s="1431">
        <v>145000</v>
      </c>
      <c r="G23" s="1426">
        <f t="shared" si="2"/>
        <v>1.2715394396457229</v>
      </c>
    </row>
    <row r="24" spans="1:7" ht="17.100000000000001" customHeight="1">
      <c r="A24" s="548"/>
      <c r="B24" s="746"/>
      <c r="C24" s="1429" t="s">
        <v>492</v>
      </c>
      <c r="D24" s="1430" t="s">
        <v>493</v>
      </c>
      <c r="E24" s="1431">
        <v>104072</v>
      </c>
      <c r="F24" s="1431">
        <v>192000</v>
      </c>
      <c r="G24" s="1426">
        <f t="shared" si="2"/>
        <v>1.8448766238757783</v>
      </c>
    </row>
    <row r="25" spans="1:7" ht="17.100000000000001" customHeight="1">
      <c r="A25" s="548"/>
      <c r="B25" s="746"/>
      <c r="C25" s="1429" t="s">
        <v>494</v>
      </c>
      <c r="D25" s="1430" t="s">
        <v>495</v>
      </c>
      <c r="E25" s="1431">
        <v>14000</v>
      </c>
      <c r="F25" s="1431">
        <v>15000</v>
      </c>
      <c r="G25" s="1426">
        <f t="shared" si="2"/>
        <v>1.0714285714285714</v>
      </c>
    </row>
    <row r="26" spans="1:7" ht="17.100000000000001" customHeight="1">
      <c r="A26" s="548"/>
      <c r="B26" s="746"/>
      <c r="C26" s="1429" t="s">
        <v>496</v>
      </c>
      <c r="D26" s="1430" t="s">
        <v>497</v>
      </c>
      <c r="E26" s="1431">
        <v>302392</v>
      </c>
      <c r="F26" s="1431">
        <v>321690</v>
      </c>
      <c r="G26" s="1426">
        <f t="shared" si="2"/>
        <v>1.0638178258684092</v>
      </c>
    </row>
    <row r="27" spans="1:7" ht="16.5" customHeight="1">
      <c r="A27" s="548"/>
      <c r="B27" s="746"/>
      <c r="C27" s="1429" t="s">
        <v>498</v>
      </c>
      <c r="D27" s="1430" t="s">
        <v>499</v>
      </c>
      <c r="E27" s="1431">
        <v>40380</v>
      </c>
      <c r="F27" s="1431">
        <v>76420</v>
      </c>
      <c r="G27" s="1426">
        <f t="shared" si="2"/>
        <v>1.8925210500247647</v>
      </c>
    </row>
    <row r="28" spans="1:7" ht="16.5" customHeight="1">
      <c r="A28" s="548"/>
      <c r="B28" s="746"/>
      <c r="C28" s="1429" t="s">
        <v>500</v>
      </c>
      <c r="D28" s="1430" t="s">
        <v>501</v>
      </c>
      <c r="E28" s="1431">
        <v>7000</v>
      </c>
      <c r="F28" s="1431">
        <v>10000</v>
      </c>
      <c r="G28" s="1426">
        <f t="shared" si="2"/>
        <v>1.4285714285714286</v>
      </c>
    </row>
    <row r="29" spans="1:7" ht="27.75" customHeight="1">
      <c r="A29" s="548"/>
      <c r="B29" s="746"/>
      <c r="C29" s="1429" t="s">
        <v>502</v>
      </c>
      <c r="D29" s="1430" t="s">
        <v>503</v>
      </c>
      <c r="E29" s="1431">
        <v>188678</v>
      </c>
      <c r="F29" s="1431">
        <v>217000</v>
      </c>
      <c r="G29" s="1426">
        <f t="shared" si="2"/>
        <v>1.1501075907100986</v>
      </c>
    </row>
    <row r="30" spans="1:7" ht="17.100000000000001" customHeight="1">
      <c r="A30" s="548"/>
      <c r="B30" s="746"/>
      <c r="C30" s="1429" t="s">
        <v>504</v>
      </c>
      <c r="D30" s="1430" t="s">
        <v>505</v>
      </c>
      <c r="E30" s="1431">
        <v>20000</v>
      </c>
      <c r="F30" s="1431">
        <v>20400</v>
      </c>
      <c r="G30" s="1426">
        <f t="shared" si="2"/>
        <v>1.02</v>
      </c>
    </row>
    <row r="31" spans="1:7" ht="17.100000000000001" customHeight="1">
      <c r="A31" s="548"/>
      <c r="B31" s="746"/>
      <c r="C31" s="1429" t="s">
        <v>506</v>
      </c>
      <c r="D31" s="1430" t="s">
        <v>507</v>
      </c>
      <c r="E31" s="1431">
        <v>110806</v>
      </c>
      <c r="F31" s="1431">
        <v>117100</v>
      </c>
      <c r="G31" s="1426">
        <f t="shared" si="2"/>
        <v>1.0568019782322258</v>
      </c>
    </row>
    <row r="32" spans="1:7" ht="17.100000000000001" customHeight="1">
      <c r="A32" s="548"/>
      <c r="B32" s="746"/>
      <c r="C32" s="1429" t="s">
        <v>508</v>
      </c>
      <c r="D32" s="1430" t="s">
        <v>509</v>
      </c>
      <c r="E32" s="1431">
        <v>154892</v>
      </c>
      <c r="F32" s="1431">
        <v>145837</v>
      </c>
      <c r="G32" s="1426">
        <f t="shared" si="2"/>
        <v>0.94153991168039664</v>
      </c>
    </row>
    <row r="33" spans="1:7" ht="17.100000000000001" customHeight="1">
      <c r="A33" s="548"/>
      <c r="B33" s="746"/>
      <c r="C33" s="1429" t="s">
        <v>510</v>
      </c>
      <c r="D33" s="1430" t="s">
        <v>511</v>
      </c>
      <c r="E33" s="1431">
        <v>7213</v>
      </c>
      <c r="F33" s="1431">
        <v>20000</v>
      </c>
      <c r="G33" s="1426">
        <f t="shared" si="2"/>
        <v>2.7727713849993068</v>
      </c>
    </row>
    <row r="34" spans="1:7" ht="17.100000000000001" customHeight="1">
      <c r="A34" s="548"/>
      <c r="B34" s="746"/>
      <c r="C34" s="1429" t="s">
        <v>512</v>
      </c>
      <c r="D34" s="1430" t="s">
        <v>513</v>
      </c>
      <c r="E34" s="1431">
        <v>2500</v>
      </c>
      <c r="F34" s="1431">
        <v>2550</v>
      </c>
      <c r="G34" s="1426">
        <f t="shared" si="2"/>
        <v>1.02</v>
      </c>
    </row>
    <row r="35" spans="1:7" ht="17.100000000000001" customHeight="1">
      <c r="A35" s="548"/>
      <c r="B35" s="746"/>
      <c r="C35" s="1429" t="s">
        <v>514</v>
      </c>
      <c r="D35" s="1430" t="s">
        <v>515</v>
      </c>
      <c r="E35" s="1431">
        <v>4513</v>
      </c>
      <c r="F35" s="1431">
        <v>7531</v>
      </c>
      <c r="G35" s="1426">
        <f t="shared" si="2"/>
        <v>1.6687347662308885</v>
      </c>
    </row>
    <row r="36" spans="1:7" ht="17.100000000000001" hidden="1" customHeight="1">
      <c r="A36" s="548"/>
      <c r="B36" s="746"/>
      <c r="C36" s="1429" t="s">
        <v>516</v>
      </c>
      <c r="D36" s="1430" t="s">
        <v>517</v>
      </c>
      <c r="E36" s="1431">
        <v>0</v>
      </c>
      <c r="F36" s="1431">
        <v>0</v>
      </c>
      <c r="G36" s="1426" t="e">
        <f t="shared" si="2"/>
        <v>#DIV/0!</v>
      </c>
    </row>
    <row r="37" spans="1:7" ht="17.100000000000001" customHeight="1">
      <c r="A37" s="548"/>
      <c r="B37" s="746"/>
      <c r="C37" s="1429" t="s">
        <v>518</v>
      </c>
      <c r="D37" s="1430" t="s">
        <v>519</v>
      </c>
      <c r="E37" s="1431">
        <v>18000</v>
      </c>
      <c r="F37" s="1431">
        <v>18360</v>
      </c>
      <c r="G37" s="1426">
        <f t="shared" si="2"/>
        <v>1.02</v>
      </c>
    </row>
    <row r="38" spans="1:7" ht="17.100000000000001" customHeight="1">
      <c r="A38" s="548"/>
      <c r="B38" s="746"/>
      <c r="C38" s="2761"/>
      <c r="D38" s="2761"/>
      <c r="E38" s="550"/>
      <c r="F38" s="550"/>
      <c r="G38" s="1433"/>
    </row>
    <row r="39" spans="1:7" ht="17.100000000000001" customHeight="1">
      <c r="A39" s="548"/>
      <c r="B39" s="746"/>
      <c r="C39" s="2762" t="s">
        <v>520</v>
      </c>
      <c r="D39" s="2762"/>
      <c r="E39" s="1431">
        <f t="shared" ref="E39:F39" si="5">E40</f>
        <v>111545</v>
      </c>
      <c r="F39" s="1431">
        <f t="shared" si="5"/>
        <v>109288</v>
      </c>
      <c r="G39" s="1426">
        <f t="shared" si="2"/>
        <v>0.97976601371643735</v>
      </c>
    </row>
    <row r="40" spans="1:7" ht="17.100000000000001" customHeight="1">
      <c r="A40" s="548"/>
      <c r="B40" s="746"/>
      <c r="C40" s="1434" t="s">
        <v>521</v>
      </c>
      <c r="D40" s="1435" t="s">
        <v>522</v>
      </c>
      <c r="E40" s="1436">
        <v>111545</v>
      </c>
      <c r="F40" s="1436">
        <v>109288</v>
      </c>
      <c r="G40" s="1437">
        <f t="shared" si="2"/>
        <v>0.97976601371643735</v>
      </c>
    </row>
    <row r="41" spans="1:7" ht="17.100000000000001" customHeight="1">
      <c r="A41" s="548"/>
      <c r="B41" s="746"/>
      <c r="C41" s="2763"/>
      <c r="D41" s="2764"/>
      <c r="E41" s="551"/>
      <c r="F41" s="551"/>
      <c r="G41" s="1438"/>
    </row>
    <row r="42" spans="1:7" ht="17.100000000000001" customHeight="1">
      <c r="A42" s="548"/>
      <c r="B42" s="746"/>
      <c r="C42" s="2765" t="s">
        <v>523</v>
      </c>
      <c r="D42" s="2766"/>
      <c r="E42" s="1439">
        <f t="shared" ref="E42:F42" si="6">E43</f>
        <v>210000</v>
      </c>
      <c r="F42" s="1439">
        <f t="shared" si="6"/>
        <v>402000</v>
      </c>
      <c r="G42" s="1440">
        <f t="shared" si="2"/>
        <v>1.9142857142857144</v>
      </c>
    </row>
    <row r="43" spans="1:7" ht="17.100000000000001" customHeight="1">
      <c r="A43" s="548"/>
      <c r="B43" s="746"/>
      <c r="C43" s="2767" t="s">
        <v>524</v>
      </c>
      <c r="D43" s="2767"/>
      <c r="E43" s="1441">
        <f t="shared" ref="E43:F43" si="7">SUM(E44:E44)</f>
        <v>210000</v>
      </c>
      <c r="F43" s="1441">
        <f t="shared" si="7"/>
        <v>402000</v>
      </c>
      <c r="G43" s="1442">
        <f t="shared" si="2"/>
        <v>1.9142857142857144</v>
      </c>
    </row>
    <row r="44" spans="1:7" ht="17.100000000000001" customHeight="1" thickBot="1">
      <c r="A44" s="548"/>
      <c r="B44" s="746"/>
      <c r="C44" s="1443" t="s">
        <v>525</v>
      </c>
      <c r="D44" s="1444" t="s">
        <v>526</v>
      </c>
      <c r="E44" s="552">
        <v>210000</v>
      </c>
      <c r="F44" s="552">
        <v>402000</v>
      </c>
      <c r="G44" s="1445">
        <f t="shared" si="2"/>
        <v>1.9142857142857144</v>
      </c>
    </row>
    <row r="45" spans="1:7" ht="17.100000000000001" hidden="1" customHeight="1" thickBot="1">
      <c r="A45" s="548"/>
      <c r="B45" s="1419" t="s">
        <v>527</v>
      </c>
      <c r="C45" s="1420"/>
      <c r="D45" s="1421" t="s">
        <v>528</v>
      </c>
      <c r="E45" s="1446">
        <f>E46</f>
        <v>0</v>
      </c>
      <c r="F45" s="1446">
        <f t="shared" ref="F45" si="8">F46</f>
        <v>0</v>
      </c>
      <c r="G45" s="1447" t="e">
        <f t="shared" si="2"/>
        <v>#DIV/0!</v>
      </c>
    </row>
    <row r="46" spans="1:7" ht="17.100000000000001" hidden="1" customHeight="1">
      <c r="A46" s="548"/>
      <c r="B46" s="741"/>
      <c r="C46" s="2768" t="s">
        <v>470</v>
      </c>
      <c r="D46" s="2768"/>
      <c r="E46" s="549">
        <f>E47+E68</f>
        <v>0</v>
      </c>
      <c r="F46" s="549">
        <f t="shared" ref="F46" si="9">F47+F68</f>
        <v>0</v>
      </c>
      <c r="G46" s="1424" t="e">
        <f t="shared" si="2"/>
        <v>#DIV/0!</v>
      </c>
    </row>
    <row r="47" spans="1:7" ht="17.100000000000001" hidden="1" customHeight="1">
      <c r="A47" s="548"/>
      <c r="B47" s="746"/>
      <c r="C47" s="2785" t="s">
        <v>471</v>
      </c>
      <c r="D47" s="2785"/>
      <c r="E47" s="1441">
        <f>E48+E55</f>
        <v>0</v>
      </c>
      <c r="F47" s="1441">
        <f t="shared" ref="F47" si="10">F48+F55</f>
        <v>0</v>
      </c>
      <c r="G47" s="1442" t="e">
        <f t="shared" si="2"/>
        <v>#DIV/0!</v>
      </c>
    </row>
    <row r="48" spans="1:7" ht="17.100000000000001" hidden="1" customHeight="1">
      <c r="A48" s="548"/>
      <c r="B48" s="746"/>
      <c r="C48" s="2787" t="s">
        <v>472</v>
      </c>
      <c r="D48" s="2787"/>
      <c r="E48" s="1448">
        <f t="shared" ref="E48:F48" si="11">SUM(E49:E53)</f>
        <v>0</v>
      </c>
      <c r="F48" s="1448">
        <f t="shared" si="11"/>
        <v>0</v>
      </c>
      <c r="G48" s="1449" t="e">
        <f t="shared" si="2"/>
        <v>#DIV/0!</v>
      </c>
    </row>
    <row r="49" spans="1:7" ht="16.5" hidden="1" customHeight="1">
      <c r="A49" s="548"/>
      <c r="B49" s="746"/>
      <c r="C49" s="1450" t="s">
        <v>473</v>
      </c>
      <c r="D49" s="1451" t="s">
        <v>474</v>
      </c>
      <c r="E49" s="1441">
        <v>0</v>
      </c>
      <c r="F49" s="1441">
        <v>0</v>
      </c>
      <c r="G49" s="1442"/>
    </row>
    <row r="50" spans="1:7" ht="17.100000000000001" hidden="1" customHeight="1">
      <c r="A50" s="548"/>
      <c r="B50" s="746"/>
      <c r="C50" s="1450" t="s">
        <v>475</v>
      </c>
      <c r="D50" s="1451" t="s">
        <v>476</v>
      </c>
      <c r="E50" s="1441"/>
      <c r="F50" s="1441">
        <v>0</v>
      </c>
      <c r="G50" s="1442" t="e">
        <f t="shared" si="2"/>
        <v>#DIV/0!</v>
      </c>
    </row>
    <row r="51" spans="1:7" ht="17.100000000000001" hidden="1" customHeight="1">
      <c r="A51" s="548"/>
      <c r="B51" s="746"/>
      <c r="C51" s="1450" t="s">
        <v>477</v>
      </c>
      <c r="D51" s="1451" t="s">
        <v>478</v>
      </c>
      <c r="E51" s="1441"/>
      <c r="F51" s="1441">
        <v>0</v>
      </c>
      <c r="G51" s="1442" t="e">
        <f t="shared" si="2"/>
        <v>#DIV/0!</v>
      </c>
    </row>
    <row r="52" spans="1:7" ht="17.100000000000001" hidden="1" customHeight="1">
      <c r="A52" s="548"/>
      <c r="B52" s="746"/>
      <c r="C52" s="1450" t="s">
        <v>479</v>
      </c>
      <c r="D52" s="1451" t="s">
        <v>480</v>
      </c>
      <c r="E52" s="1441"/>
      <c r="F52" s="1441">
        <v>0</v>
      </c>
      <c r="G52" s="1442" t="e">
        <f t="shared" si="2"/>
        <v>#DIV/0!</v>
      </c>
    </row>
    <row r="53" spans="1:7" ht="17.100000000000001" hidden="1" customHeight="1">
      <c r="A53" s="548"/>
      <c r="B53" s="746"/>
      <c r="C53" s="1450" t="s">
        <v>481</v>
      </c>
      <c r="D53" s="1451" t="s">
        <v>482</v>
      </c>
      <c r="E53" s="1441"/>
      <c r="F53" s="1441">
        <v>0</v>
      </c>
      <c r="G53" s="1442" t="e">
        <f t="shared" si="2"/>
        <v>#DIV/0!</v>
      </c>
    </row>
    <row r="54" spans="1:7" ht="17.100000000000001" hidden="1" customHeight="1">
      <c r="A54" s="548"/>
      <c r="B54" s="746"/>
      <c r="C54" s="553"/>
      <c r="D54" s="553"/>
      <c r="E54" s="1452"/>
      <c r="F54" s="1452"/>
      <c r="G54" s="1453"/>
    </row>
    <row r="55" spans="1:7" ht="17.100000000000001" hidden="1" customHeight="1">
      <c r="A55" s="548"/>
      <c r="B55" s="746"/>
      <c r="C55" s="2778" t="s">
        <v>483</v>
      </c>
      <c r="D55" s="2778"/>
      <c r="E55" s="1448">
        <f>SUM(E56:E66)</f>
        <v>0</v>
      </c>
      <c r="F55" s="1448">
        <f t="shared" ref="F55" si="12">SUM(F56:F66)</f>
        <v>0</v>
      </c>
      <c r="G55" s="1449" t="e">
        <f t="shared" si="2"/>
        <v>#DIV/0!</v>
      </c>
    </row>
    <row r="56" spans="1:7" ht="17.100000000000001" hidden="1" customHeight="1">
      <c r="A56" s="548"/>
      <c r="B56" s="746"/>
      <c r="C56" s="1450" t="s">
        <v>486</v>
      </c>
      <c r="D56" s="1451" t="s">
        <v>487</v>
      </c>
      <c r="E56" s="1441"/>
      <c r="F56" s="1441">
        <v>0</v>
      </c>
      <c r="G56" s="1442" t="e">
        <f t="shared" si="2"/>
        <v>#DIV/0!</v>
      </c>
    </row>
    <row r="57" spans="1:7" ht="17.100000000000001" hidden="1" customHeight="1">
      <c r="A57" s="548"/>
      <c r="B57" s="746"/>
      <c r="C57" s="1450" t="s">
        <v>490</v>
      </c>
      <c r="D57" s="1451" t="s">
        <v>491</v>
      </c>
      <c r="E57" s="1441"/>
      <c r="F57" s="1441">
        <v>0</v>
      </c>
      <c r="G57" s="1442" t="e">
        <f t="shared" si="2"/>
        <v>#DIV/0!</v>
      </c>
    </row>
    <row r="58" spans="1:7" ht="17.100000000000001" hidden="1" customHeight="1">
      <c r="A58" s="548"/>
      <c r="B58" s="746"/>
      <c r="C58" s="1450" t="s">
        <v>492</v>
      </c>
      <c r="D58" s="1451" t="s">
        <v>493</v>
      </c>
      <c r="E58" s="1441"/>
      <c r="F58" s="1441">
        <v>0</v>
      </c>
      <c r="G58" s="1442" t="e">
        <f t="shared" si="2"/>
        <v>#DIV/0!</v>
      </c>
    </row>
    <row r="59" spans="1:7" ht="17.100000000000001" hidden="1" customHeight="1">
      <c r="A59" s="548"/>
      <c r="B59" s="746"/>
      <c r="C59" s="1450" t="s">
        <v>496</v>
      </c>
      <c r="D59" s="1451" t="s">
        <v>497</v>
      </c>
      <c r="E59" s="1441"/>
      <c r="F59" s="1441">
        <v>0</v>
      </c>
      <c r="G59" s="1442" t="e">
        <f t="shared" si="2"/>
        <v>#DIV/0!</v>
      </c>
    </row>
    <row r="60" spans="1:7" ht="16.5" hidden="1" customHeight="1">
      <c r="A60" s="548"/>
      <c r="B60" s="746"/>
      <c r="C60" s="1450" t="s">
        <v>498</v>
      </c>
      <c r="D60" s="1451" t="s">
        <v>499</v>
      </c>
      <c r="E60" s="1441"/>
      <c r="F60" s="1441">
        <v>0</v>
      </c>
      <c r="G60" s="1442" t="e">
        <f t="shared" si="2"/>
        <v>#DIV/0!</v>
      </c>
    </row>
    <row r="61" spans="1:7" ht="27.75" hidden="1" customHeight="1">
      <c r="A61" s="548"/>
      <c r="B61" s="746"/>
      <c r="C61" s="1450" t="s">
        <v>502</v>
      </c>
      <c r="D61" s="1451" t="s">
        <v>503</v>
      </c>
      <c r="E61" s="1441"/>
      <c r="F61" s="1441">
        <v>0</v>
      </c>
      <c r="G61" s="1442" t="e">
        <f t="shared" si="2"/>
        <v>#DIV/0!</v>
      </c>
    </row>
    <row r="62" spans="1:7" ht="17.100000000000001" hidden="1" customHeight="1">
      <c r="A62" s="548"/>
      <c r="B62" s="746"/>
      <c r="C62" s="1450" t="s">
        <v>504</v>
      </c>
      <c r="D62" s="1451" t="s">
        <v>505</v>
      </c>
      <c r="E62" s="1441"/>
      <c r="F62" s="1441">
        <v>0</v>
      </c>
      <c r="G62" s="1442" t="e">
        <f t="shared" si="2"/>
        <v>#DIV/0!</v>
      </c>
    </row>
    <row r="63" spans="1:7" ht="17.100000000000001" hidden="1" customHeight="1">
      <c r="A63" s="548"/>
      <c r="B63" s="746"/>
      <c r="C63" s="554" t="s">
        <v>506</v>
      </c>
      <c r="D63" s="625" t="s">
        <v>507</v>
      </c>
      <c r="E63" s="1441"/>
      <c r="F63" s="1441">
        <v>0</v>
      </c>
      <c r="G63" s="1442" t="e">
        <f t="shared" si="2"/>
        <v>#DIV/0!</v>
      </c>
    </row>
    <row r="64" spans="1:7" ht="17.100000000000001" hidden="1" customHeight="1">
      <c r="A64" s="548"/>
      <c r="B64" s="746"/>
      <c r="C64" s="554" t="s">
        <v>510</v>
      </c>
      <c r="D64" s="625" t="s">
        <v>511</v>
      </c>
      <c r="E64" s="1441"/>
      <c r="F64" s="1441">
        <v>0</v>
      </c>
      <c r="G64" s="1442" t="e">
        <f t="shared" si="2"/>
        <v>#DIV/0!</v>
      </c>
    </row>
    <row r="65" spans="1:7" ht="17.100000000000001" hidden="1" customHeight="1">
      <c r="A65" s="548"/>
      <c r="B65" s="746"/>
      <c r="C65" s="1454" t="s">
        <v>514</v>
      </c>
      <c r="D65" s="1455" t="s">
        <v>515</v>
      </c>
      <c r="E65" s="1441"/>
      <c r="F65" s="1441">
        <v>0</v>
      </c>
      <c r="G65" s="1442" t="e">
        <f t="shared" si="2"/>
        <v>#DIV/0!</v>
      </c>
    </row>
    <row r="66" spans="1:7" ht="17.100000000000001" hidden="1" customHeight="1">
      <c r="A66" s="548"/>
      <c r="B66" s="746"/>
      <c r="C66" s="554" t="s">
        <v>518</v>
      </c>
      <c r="D66" s="625" t="s">
        <v>519</v>
      </c>
      <c r="E66" s="1441"/>
      <c r="F66" s="1441">
        <v>0</v>
      </c>
      <c r="G66" s="1442" t="e">
        <f t="shared" si="2"/>
        <v>#DIV/0!</v>
      </c>
    </row>
    <row r="67" spans="1:7" ht="17.100000000000001" hidden="1" customHeight="1">
      <c r="A67" s="548"/>
      <c r="B67" s="746"/>
      <c r="C67" s="555"/>
      <c r="D67" s="1456"/>
      <c r="E67" s="551"/>
      <c r="F67" s="551"/>
      <c r="G67" s="1438"/>
    </row>
    <row r="68" spans="1:7" ht="17.100000000000001" hidden="1" customHeight="1">
      <c r="A68" s="548"/>
      <c r="B68" s="746"/>
      <c r="C68" s="2767" t="s">
        <v>520</v>
      </c>
      <c r="D68" s="2767"/>
      <c r="E68" s="1441">
        <f t="shared" ref="E68:F68" si="13">E69</f>
        <v>0</v>
      </c>
      <c r="F68" s="1441">
        <f t="shared" si="13"/>
        <v>0</v>
      </c>
      <c r="G68" s="1442" t="e">
        <f t="shared" si="2"/>
        <v>#DIV/0!</v>
      </c>
    </row>
    <row r="69" spans="1:7" ht="17.100000000000001" hidden="1" customHeight="1" thickBot="1">
      <c r="A69" s="548"/>
      <c r="B69" s="746"/>
      <c r="C69" s="1457" t="s">
        <v>521</v>
      </c>
      <c r="D69" s="1458" t="s">
        <v>522</v>
      </c>
      <c r="E69" s="1431"/>
      <c r="F69" s="1431">
        <v>0</v>
      </c>
      <c r="G69" s="1426" t="e">
        <f t="shared" si="2"/>
        <v>#DIV/0!</v>
      </c>
    </row>
    <row r="70" spans="1:7" ht="17.100000000000001" hidden="1" customHeight="1" thickBot="1">
      <c r="A70" s="548"/>
      <c r="B70" s="1419" t="s">
        <v>224</v>
      </c>
      <c r="C70" s="1420"/>
      <c r="D70" s="1421" t="s">
        <v>225</v>
      </c>
      <c r="E70" s="556">
        <f>E71+E93</f>
        <v>0</v>
      </c>
      <c r="F70" s="556">
        <f t="shared" ref="F70" si="14">F71+F93</f>
        <v>0</v>
      </c>
      <c r="G70" s="1459" t="e">
        <f t="shared" si="2"/>
        <v>#DIV/0!</v>
      </c>
    </row>
    <row r="71" spans="1:7" ht="17.100000000000001" hidden="1" customHeight="1">
      <c r="A71" s="548"/>
      <c r="B71" s="2771"/>
      <c r="C71" s="2768" t="s">
        <v>470</v>
      </c>
      <c r="D71" s="2768"/>
      <c r="E71" s="549">
        <f>E72+E90</f>
        <v>0</v>
      </c>
      <c r="F71" s="549">
        <f t="shared" ref="F71" si="15">F72+F90</f>
        <v>0</v>
      </c>
      <c r="G71" s="1424" t="e">
        <f t="shared" si="2"/>
        <v>#DIV/0!</v>
      </c>
    </row>
    <row r="72" spans="1:7" ht="17.100000000000001" hidden="1" customHeight="1">
      <c r="A72" s="548"/>
      <c r="B72" s="2771"/>
      <c r="C72" s="2785" t="s">
        <v>471</v>
      </c>
      <c r="D72" s="2785"/>
      <c r="E72" s="1431">
        <f t="shared" ref="E72:F72" si="16">E73+E79</f>
        <v>0</v>
      </c>
      <c r="F72" s="1431">
        <f t="shared" si="16"/>
        <v>0</v>
      </c>
      <c r="G72" s="1426" t="e">
        <f t="shared" si="2"/>
        <v>#DIV/0!</v>
      </c>
    </row>
    <row r="73" spans="1:7" ht="17.100000000000001" hidden="1" customHeight="1">
      <c r="A73" s="548"/>
      <c r="B73" s="2771"/>
      <c r="C73" s="2787" t="s">
        <v>472</v>
      </c>
      <c r="D73" s="2787"/>
      <c r="E73" s="1427">
        <f t="shared" ref="E73:F73" si="17">E74+E76+E77+E75</f>
        <v>0</v>
      </c>
      <c r="F73" s="1427">
        <f t="shared" si="17"/>
        <v>0</v>
      </c>
      <c r="G73" s="1428" t="e">
        <f t="shared" ref="G73:G136" si="18">F73/E73</f>
        <v>#DIV/0!</v>
      </c>
    </row>
    <row r="74" spans="1:7" ht="0.75" hidden="1" customHeight="1">
      <c r="A74" s="548"/>
      <c r="B74" s="2771"/>
      <c r="C74" s="1429" t="s">
        <v>473</v>
      </c>
      <c r="D74" s="1430" t="s">
        <v>474</v>
      </c>
      <c r="E74" s="1436">
        <v>0</v>
      </c>
      <c r="F74" s="1436">
        <v>0</v>
      </c>
      <c r="G74" s="1437" t="e">
        <f t="shared" si="18"/>
        <v>#DIV/0!</v>
      </c>
    </row>
    <row r="75" spans="1:7" ht="17.100000000000001" hidden="1" customHeight="1">
      <c r="A75" s="548"/>
      <c r="B75" s="2771"/>
      <c r="C75" s="1429" t="s">
        <v>475</v>
      </c>
      <c r="D75" s="1430" t="s">
        <v>476</v>
      </c>
      <c r="E75" s="1436"/>
      <c r="F75" s="1436">
        <v>0</v>
      </c>
      <c r="G75" s="1437" t="e">
        <f t="shared" si="18"/>
        <v>#DIV/0!</v>
      </c>
    </row>
    <row r="76" spans="1:7" ht="17.100000000000001" hidden="1" customHeight="1">
      <c r="A76" s="548"/>
      <c r="B76" s="2771"/>
      <c r="C76" s="1429" t="s">
        <v>477</v>
      </c>
      <c r="D76" s="1430" t="s">
        <v>478</v>
      </c>
      <c r="E76" s="1436"/>
      <c r="F76" s="1436">
        <v>0</v>
      </c>
      <c r="G76" s="1437" t="e">
        <f t="shared" si="18"/>
        <v>#DIV/0!</v>
      </c>
    </row>
    <row r="77" spans="1:7" ht="17.100000000000001" hidden="1" customHeight="1">
      <c r="A77" s="548"/>
      <c r="B77" s="2771"/>
      <c r="C77" s="1429" t="s">
        <v>479</v>
      </c>
      <c r="D77" s="1430" t="s">
        <v>480</v>
      </c>
      <c r="E77" s="1436"/>
      <c r="F77" s="1436">
        <v>0</v>
      </c>
      <c r="G77" s="1437" t="e">
        <f t="shared" si="18"/>
        <v>#DIV/0!</v>
      </c>
    </row>
    <row r="78" spans="1:7" ht="17.100000000000001" hidden="1" customHeight="1">
      <c r="A78" s="548"/>
      <c r="B78" s="2771"/>
      <c r="C78" s="553"/>
      <c r="D78" s="749"/>
      <c r="E78" s="557"/>
      <c r="F78" s="557"/>
      <c r="G78" s="1460"/>
    </row>
    <row r="79" spans="1:7" ht="17.100000000000001" hidden="1" customHeight="1">
      <c r="A79" s="548"/>
      <c r="B79" s="2771"/>
      <c r="C79" s="2789" t="s">
        <v>483</v>
      </c>
      <c r="D79" s="2778"/>
      <c r="E79" s="1461">
        <f>SUM(E80:E88)</f>
        <v>0</v>
      </c>
      <c r="F79" s="1461">
        <f t="shared" ref="F79" si="19">SUM(F80:F88)</f>
        <v>0</v>
      </c>
      <c r="G79" s="1462" t="e">
        <f t="shared" si="18"/>
        <v>#DIV/0!</v>
      </c>
    </row>
    <row r="80" spans="1:7" ht="17.100000000000001" hidden="1" customHeight="1">
      <c r="A80" s="548"/>
      <c r="B80" s="2771"/>
      <c r="C80" s="1463" t="s">
        <v>486</v>
      </c>
      <c r="D80" s="1430" t="s">
        <v>487</v>
      </c>
      <c r="E80" s="1436">
        <v>0</v>
      </c>
      <c r="F80" s="1436">
        <v>0</v>
      </c>
      <c r="G80" s="1437" t="e">
        <f t="shared" si="18"/>
        <v>#DIV/0!</v>
      </c>
    </row>
    <row r="81" spans="1:7" ht="17.100000000000001" hidden="1" customHeight="1">
      <c r="A81" s="548"/>
      <c r="B81" s="2771"/>
      <c r="C81" s="1429" t="s">
        <v>490</v>
      </c>
      <c r="D81" s="1430" t="s">
        <v>491</v>
      </c>
      <c r="E81" s="1436">
        <v>0</v>
      </c>
      <c r="F81" s="1436">
        <v>0</v>
      </c>
      <c r="G81" s="1437" t="e">
        <f t="shared" si="18"/>
        <v>#DIV/0!</v>
      </c>
    </row>
    <row r="82" spans="1:7" ht="17.100000000000001" hidden="1" customHeight="1">
      <c r="A82" s="548"/>
      <c r="B82" s="2771"/>
      <c r="C82" s="1429" t="s">
        <v>492</v>
      </c>
      <c r="D82" s="1430" t="s">
        <v>493</v>
      </c>
      <c r="E82" s="1436">
        <v>0</v>
      </c>
      <c r="F82" s="1436">
        <v>0</v>
      </c>
      <c r="G82" s="1437" t="e">
        <f t="shared" si="18"/>
        <v>#DIV/0!</v>
      </c>
    </row>
    <row r="83" spans="1:7" ht="17.100000000000001" hidden="1" customHeight="1">
      <c r="A83" s="548"/>
      <c r="B83" s="2771"/>
      <c r="C83" s="1429" t="s">
        <v>494</v>
      </c>
      <c r="D83" s="1430" t="s">
        <v>495</v>
      </c>
      <c r="E83" s="1436">
        <v>0</v>
      </c>
      <c r="F83" s="1436">
        <v>0</v>
      </c>
      <c r="G83" s="1437" t="e">
        <f t="shared" si="18"/>
        <v>#DIV/0!</v>
      </c>
    </row>
    <row r="84" spans="1:7" ht="17.100000000000001" hidden="1" customHeight="1">
      <c r="A84" s="548"/>
      <c r="B84" s="2771"/>
      <c r="C84" s="1429" t="s">
        <v>496</v>
      </c>
      <c r="D84" s="1430" t="s">
        <v>497</v>
      </c>
      <c r="E84" s="1436">
        <v>0</v>
      </c>
      <c r="F84" s="1436">
        <v>0</v>
      </c>
      <c r="G84" s="1437" t="e">
        <f t="shared" si="18"/>
        <v>#DIV/0!</v>
      </c>
    </row>
    <row r="85" spans="1:7" ht="16.5" hidden="1" customHeight="1">
      <c r="A85" s="548"/>
      <c r="B85" s="2771"/>
      <c r="C85" s="1429" t="s">
        <v>498</v>
      </c>
      <c r="D85" s="1430" t="s">
        <v>499</v>
      </c>
      <c r="E85" s="1436">
        <v>0</v>
      </c>
      <c r="F85" s="1436">
        <v>0</v>
      </c>
      <c r="G85" s="1437" t="e">
        <f t="shared" si="18"/>
        <v>#DIV/0!</v>
      </c>
    </row>
    <row r="86" spans="1:7" ht="17.100000000000001" hidden="1" customHeight="1">
      <c r="A86" s="548"/>
      <c r="B86" s="2771"/>
      <c r="C86" s="1429" t="s">
        <v>508</v>
      </c>
      <c r="D86" s="1430" t="s">
        <v>509</v>
      </c>
      <c r="E86" s="1436">
        <v>0</v>
      </c>
      <c r="F86" s="1436">
        <v>0</v>
      </c>
      <c r="G86" s="1437" t="e">
        <f t="shared" si="18"/>
        <v>#DIV/0!</v>
      </c>
    </row>
    <row r="87" spans="1:7" ht="17.100000000000001" hidden="1" customHeight="1">
      <c r="A87" s="548"/>
      <c r="B87" s="2771"/>
      <c r="C87" s="1429" t="s">
        <v>510</v>
      </c>
      <c r="D87" s="1430" t="s">
        <v>511</v>
      </c>
      <c r="E87" s="1436">
        <v>0</v>
      </c>
      <c r="F87" s="1436">
        <v>0</v>
      </c>
      <c r="G87" s="1437" t="e">
        <f t="shared" si="18"/>
        <v>#DIV/0!</v>
      </c>
    </row>
    <row r="88" spans="1:7" ht="17.100000000000001" hidden="1" customHeight="1">
      <c r="A88" s="548"/>
      <c r="B88" s="2771"/>
      <c r="C88" s="1443" t="s">
        <v>529</v>
      </c>
      <c r="D88" s="1444" t="s">
        <v>530</v>
      </c>
      <c r="E88" s="1436">
        <v>0</v>
      </c>
      <c r="F88" s="1436">
        <v>0</v>
      </c>
      <c r="G88" s="1437" t="e">
        <f t="shared" si="18"/>
        <v>#DIV/0!</v>
      </c>
    </row>
    <row r="89" spans="1:7" ht="17.100000000000001" hidden="1" customHeight="1">
      <c r="A89" s="548"/>
      <c r="B89" s="2771"/>
      <c r="C89" s="2763"/>
      <c r="D89" s="2764"/>
      <c r="E89" s="1464"/>
      <c r="F89" s="1464"/>
      <c r="G89" s="1465" t="e">
        <f t="shared" si="18"/>
        <v>#DIV/0!</v>
      </c>
    </row>
    <row r="90" spans="1:7" ht="17.100000000000001" hidden="1" customHeight="1">
      <c r="A90" s="548"/>
      <c r="B90" s="2771"/>
      <c r="C90" s="2775" t="s">
        <v>520</v>
      </c>
      <c r="D90" s="2775"/>
      <c r="E90" s="558">
        <f t="shared" ref="E90:F90" si="20">E91</f>
        <v>0</v>
      </c>
      <c r="F90" s="558">
        <f t="shared" si="20"/>
        <v>0</v>
      </c>
      <c r="G90" s="1433" t="e">
        <f t="shared" si="18"/>
        <v>#DIV/0!</v>
      </c>
    </row>
    <row r="91" spans="1:7" ht="17.100000000000001" hidden="1" customHeight="1">
      <c r="A91" s="548"/>
      <c r="B91" s="2771"/>
      <c r="C91" s="596" t="s">
        <v>521</v>
      </c>
      <c r="D91" s="1466" t="s">
        <v>522</v>
      </c>
      <c r="E91" s="1467"/>
      <c r="F91" s="1467">
        <v>0</v>
      </c>
      <c r="G91" s="1465" t="e">
        <f t="shared" si="18"/>
        <v>#DIV/0!</v>
      </c>
    </row>
    <row r="92" spans="1:7" ht="17.100000000000001" hidden="1" customHeight="1">
      <c r="A92" s="548"/>
      <c r="B92" s="2771"/>
      <c r="C92" s="553"/>
      <c r="D92" s="553"/>
      <c r="E92" s="550"/>
      <c r="F92" s="550"/>
      <c r="G92" s="1433" t="e">
        <f t="shared" si="18"/>
        <v>#DIV/0!</v>
      </c>
    </row>
    <row r="93" spans="1:7" ht="17.100000000000001" hidden="1" customHeight="1">
      <c r="A93" s="548"/>
      <c r="B93" s="2771"/>
      <c r="C93" s="2776" t="s">
        <v>523</v>
      </c>
      <c r="D93" s="2777"/>
      <c r="E93" s="1468">
        <f t="shared" ref="E93:F93" si="21">E94</f>
        <v>0</v>
      </c>
      <c r="F93" s="1468">
        <f t="shared" si="21"/>
        <v>0</v>
      </c>
      <c r="G93" s="1469" t="e">
        <f t="shared" si="18"/>
        <v>#DIV/0!</v>
      </c>
    </row>
    <row r="94" spans="1:7" ht="17.100000000000001" hidden="1" customHeight="1">
      <c r="A94" s="548"/>
      <c r="B94" s="2771"/>
      <c r="C94" s="2767" t="s">
        <v>524</v>
      </c>
      <c r="D94" s="2767"/>
      <c r="E94" s="1470">
        <f>SUM(E95:E96)</f>
        <v>0</v>
      </c>
      <c r="F94" s="1470">
        <f t="shared" ref="F94" si="22">SUM(F95:F96)</f>
        <v>0</v>
      </c>
      <c r="G94" s="1471" t="e">
        <f t="shared" si="18"/>
        <v>#DIV/0!</v>
      </c>
    </row>
    <row r="95" spans="1:7" ht="20.25" hidden="1" customHeight="1">
      <c r="A95" s="548"/>
      <c r="B95" s="2771"/>
      <c r="C95" s="1434" t="s">
        <v>531</v>
      </c>
      <c r="D95" s="1472" t="s">
        <v>526</v>
      </c>
      <c r="E95" s="1470"/>
      <c r="F95" s="1470">
        <v>0</v>
      </c>
      <c r="G95" s="1471"/>
    </row>
    <row r="96" spans="1:7" ht="55.5" hidden="1" customHeight="1" thickBot="1">
      <c r="A96" s="548"/>
      <c r="B96" s="2771"/>
      <c r="C96" s="1473" t="s">
        <v>532</v>
      </c>
      <c r="D96" s="1474" t="s">
        <v>533</v>
      </c>
      <c r="E96" s="1470"/>
      <c r="F96" s="1470">
        <v>0</v>
      </c>
      <c r="G96" s="1471" t="e">
        <f t="shared" si="18"/>
        <v>#DIV/0!</v>
      </c>
    </row>
    <row r="97" spans="1:7" ht="17.100000000000001" hidden="1" customHeight="1">
      <c r="A97" s="548"/>
      <c r="B97" s="2788"/>
      <c r="C97" s="553"/>
      <c r="D97" s="749"/>
      <c r="E97" s="557"/>
      <c r="F97" s="557"/>
      <c r="G97" s="1460" t="e">
        <f t="shared" si="18"/>
        <v>#DIV/0!</v>
      </c>
    </row>
    <row r="98" spans="1:7" ht="17.100000000000001" hidden="1" customHeight="1">
      <c r="A98" s="548"/>
      <c r="B98" s="2788"/>
      <c r="C98" s="2778" t="s">
        <v>534</v>
      </c>
      <c r="D98" s="2779"/>
      <c r="E98" s="1470">
        <f>E99</f>
        <v>0</v>
      </c>
      <c r="F98" s="1470">
        <f t="shared" ref="F98" si="23">F99</f>
        <v>0</v>
      </c>
      <c r="G98" s="1471" t="e">
        <f t="shared" si="18"/>
        <v>#DIV/0!</v>
      </c>
    </row>
    <row r="99" spans="1:7" ht="17.100000000000001" hidden="1" customHeight="1" thickBot="1">
      <c r="A99" s="548"/>
      <c r="B99" s="2788"/>
      <c r="C99" s="1475" t="s">
        <v>531</v>
      </c>
      <c r="D99" s="1476" t="s">
        <v>526</v>
      </c>
      <c r="E99" s="719"/>
      <c r="F99" s="719"/>
      <c r="G99" s="1477" t="e">
        <f t="shared" si="18"/>
        <v>#DIV/0!</v>
      </c>
    </row>
    <row r="100" spans="1:7" ht="17.100000000000001" customHeight="1" thickBot="1">
      <c r="A100" s="548"/>
      <c r="B100" s="559" t="s">
        <v>230</v>
      </c>
      <c r="C100" s="560"/>
      <c r="D100" s="561" t="s">
        <v>535</v>
      </c>
      <c r="E100" s="562">
        <f t="shared" ref="E100:F101" si="24">E101</f>
        <v>5345000</v>
      </c>
      <c r="F100" s="562">
        <f t="shared" si="24"/>
        <v>6440000</v>
      </c>
      <c r="G100" s="1478">
        <f t="shared" si="18"/>
        <v>1.204864359214219</v>
      </c>
    </row>
    <row r="101" spans="1:7" ht="17.100000000000001" customHeight="1">
      <c r="A101" s="548"/>
      <c r="B101" s="2780"/>
      <c r="C101" s="2783" t="s">
        <v>470</v>
      </c>
      <c r="D101" s="2784"/>
      <c r="E101" s="549">
        <f t="shared" si="24"/>
        <v>5345000</v>
      </c>
      <c r="F101" s="549">
        <f t="shared" si="24"/>
        <v>6440000</v>
      </c>
      <c r="G101" s="1424">
        <f t="shared" si="18"/>
        <v>1.204864359214219</v>
      </c>
    </row>
    <row r="102" spans="1:7" ht="17.100000000000001" customHeight="1">
      <c r="A102" s="548"/>
      <c r="B102" s="2781"/>
      <c r="C102" s="2785" t="s">
        <v>536</v>
      </c>
      <c r="D102" s="2786"/>
      <c r="E102" s="1436">
        <f>SUM(E103:E132)</f>
        <v>5345000</v>
      </c>
      <c r="F102" s="1436">
        <f t="shared" ref="F102" si="25">SUM(F103:F132)</f>
        <v>6440000</v>
      </c>
      <c r="G102" s="1437">
        <f t="shared" si="18"/>
        <v>1.204864359214219</v>
      </c>
    </row>
    <row r="103" spans="1:7" ht="51.75" hidden="1" customHeight="1">
      <c r="A103" s="548"/>
      <c r="B103" s="2781"/>
      <c r="C103" s="1479" t="s">
        <v>537</v>
      </c>
      <c r="D103" s="1480" t="s">
        <v>538</v>
      </c>
      <c r="E103" s="1436">
        <v>216342</v>
      </c>
      <c r="F103" s="1436">
        <v>0</v>
      </c>
      <c r="G103" s="1437">
        <f t="shared" si="18"/>
        <v>0</v>
      </c>
    </row>
    <row r="104" spans="1:7" ht="54" hidden="1" customHeight="1">
      <c r="A104" s="548"/>
      <c r="B104" s="2781"/>
      <c r="C104" s="1479" t="s">
        <v>420</v>
      </c>
      <c r="D104" s="1480" t="s">
        <v>538</v>
      </c>
      <c r="E104" s="1436">
        <v>123658</v>
      </c>
      <c r="F104" s="1436">
        <v>0</v>
      </c>
      <c r="G104" s="1437">
        <f t="shared" si="18"/>
        <v>0</v>
      </c>
    </row>
    <row r="105" spans="1:7" ht="53.25" hidden="1" customHeight="1">
      <c r="A105" s="548"/>
      <c r="B105" s="2781"/>
      <c r="C105" s="1479" t="s">
        <v>311</v>
      </c>
      <c r="D105" s="1480" t="s">
        <v>539</v>
      </c>
      <c r="E105" s="1436">
        <v>133623</v>
      </c>
      <c r="F105" s="1436">
        <v>0</v>
      </c>
      <c r="G105" s="1437">
        <f t="shared" si="18"/>
        <v>0</v>
      </c>
    </row>
    <row r="106" spans="1:7" ht="51.75" hidden="1" customHeight="1">
      <c r="A106" s="548"/>
      <c r="B106" s="2781"/>
      <c r="C106" s="1479" t="s">
        <v>303</v>
      </c>
      <c r="D106" s="1480" t="s">
        <v>539</v>
      </c>
      <c r="E106" s="1436">
        <v>76377</v>
      </c>
      <c r="F106" s="1436">
        <v>0</v>
      </c>
      <c r="G106" s="1437">
        <f t="shared" si="18"/>
        <v>0</v>
      </c>
    </row>
    <row r="107" spans="1:7" ht="17.100000000000001" customHeight="1">
      <c r="A107" s="548"/>
      <c r="B107" s="2781"/>
      <c r="C107" s="1429" t="s">
        <v>540</v>
      </c>
      <c r="D107" s="1481" t="s">
        <v>474</v>
      </c>
      <c r="E107" s="1436">
        <v>2032955</v>
      </c>
      <c r="F107" s="1436">
        <v>2258093</v>
      </c>
      <c r="G107" s="1437">
        <f t="shared" si="18"/>
        <v>1.1107442122427698</v>
      </c>
    </row>
    <row r="108" spans="1:7" ht="17.100000000000001" customHeight="1">
      <c r="A108" s="548"/>
      <c r="B108" s="2781"/>
      <c r="C108" s="1429" t="s">
        <v>541</v>
      </c>
      <c r="D108" s="1481" t="s">
        <v>474</v>
      </c>
      <c r="E108" s="1436">
        <v>1162045</v>
      </c>
      <c r="F108" s="1436">
        <v>1291907</v>
      </c>
      <c r="G108" s="1437">
        <f t="shared" si="18"/>
        <v>1.1117529871906855</v>
      </c>
    </row>
    <row r="109" spans="1:7" ht="17.100000000000001" customHeight="1">
      <c r="A109" s="548"/>
      <c r="B109" s="2781"/>
      <c r="C109" s="1429" t="s">
        <v>542</v>
      </c>
      <c r="D109" s="1481" t="s">
        <v>476</v>
      </c>
      <c r="E109" s="1436">
        <v>150567</v>
      </c>
      <c r="F109" s="1436">
        <v>190890</v>
      </c>
      <c r="G109" s="1437">
        <f t="shared" si="18"/>
        <v>1.2678076869433541</v>
      </c>
    </row>
    <row r="110" spans="1:7" ht="17.100000000000001" customHeight="1">
      <c r="A110" s="548"/>
      <c r="B110" s="2781"/>
      <c r="C110" s="1429" t="s">
        <v>543</v>
      </c>
      <c r="D110" s="1481" t="s">
        <v>476</v>
      </c>
      <c r="E110" s="1436">
        <v>86062</v>
      </c>
      <c r="F110" s="1436">
        <v>109110</v>
      </c>
      <c r="G110" s="1437">
        <f t="shared" si="18"/>
        <v>1.2678069298877552</v>
      </c>
    </row>
    <row r="111" spans="1:7" ht="17.100000000000001" customHeight="1">
      <c r="A111" s="548"/>
      <c r="B111" s="2781"/>
      <c r="C111" s="1429" t="s">
        <v>544</v>
      </c>
      <c r="D111" s="1481" t="s">
        <v>478</v>
      </c>
      <c r="E111" s="1436">
        <v>379871</v>
      </c>
      <c r="F111" s="1436">
        <v>413595</v>
      </c>
      <c r="G111" s="1437">
        <f t="shared" si="18"/>
        <v>1.0887775060481057</v>
      </c>
    </row>
    <row r="112" spans="1:7" ht="17.100000000000001" customHeight="1">
      <c r="A112" s="548"/>
      <c r="B112" s="2781"/>
      <c r="C112" s="1429" t="s">
        <v>545</v>
      </c>
      <c r="D112" s="1481" t="s">
        <v>478</v>
      </c>
      <c r="E112" s="1436">
        <v>217129</v>
      </c>
      <c r="F112" s="1436">
        <v>236405</v>
      </c>
      <c r="G112" s="1437">
        <f t="shared" si="18"/>
        <v>1.0887767179879242</v>
      </c>
    </row>
    <row r="113" spans="1:7" ht="27" customHeight="1">
      <c r="A113" s="548"/>
      <c r="B113" s="2781"/>
      <c r="C113" s="1429" t="s">
        <v>546</v>
      </c>
      <c r="D113" s="1481" t="s">
        <v>1028</v>
      </c>
      <c r="E113" s="1436">
        <v>51777</v>
      </c>
      <c r="F113" s="1436">
        <v>63630</v>
      </c>
      <c r="G113" s="1437">
        <f t="shared" si="18"/>
        <v>1.2289240396314967</v>
      </c>
    </row>
    <row r="114" spans="1:7" ht="26.25" customHeight="1">
      <c r="A114" s="548"/>
      <c r="B114" s="2781"/>
      <c r="C114" s="1429" t="s">
        <v>547</v>
      </c>
      <c r="D114" s="1481" t="s">
        <v>1028</v>
      </c>
      <c r="E114" s="1436">
        <v>29594</v>
      </c>
      <c r="F114" s="1436">
        <v>36370</v>
      </c>
      <c r="G114" s="1437">
        <f t="shared" si="18"/>
        <v>1.2289653308102995</v>
      </c>
    </row>
    <row r="115" spans="1:7" ht="17.100000000000001" customHeight="1">
      <c r="A115" s="548"/>
      <c r="B115" s="2781"/>
      <c r="C115" s="1429" t="s">
        <v>548</v>
      </c>
      <c r="D115" s="1481" t="s">
        <v>482</v>
      </c>
      <c r="E115" s="1436">
        <v>6363</v>
      </c>
      <c r="F115" s="1436">
        <v>6363</v>
      </c>
      <c r="G115" s="1437">
        <f t="shared" si="18"/>
        <v>1</v>
      </c>
    </row>
    <row r="116" spans="1:7" ht="17.100000000000001" customHeight="1">
      <c r="A116" s="548"/>
      <c r="B116" s="2781"/>
      <c r="C116" s="1429" t="s">
        <v>549</v>
      </c>
      <c r="D116" s="1481" t="s">
        <v>482</v>
      </c>
      <c r="E116" s="1436">
        <v>3637</v>
      </c>
      <c r="F116" s="1436">
        <v>3637</v>
      </c>
      <c r="G116" s="1437">
        <f t="shared" si="18"/>
        <v>1</v>
      </c>
    </row>
    <row r="117" spans="1:7" ht="17.100000000000001" customHeight="1">
      <c r="A117" s="548"/>
      <c r="B117" s="2781"/>
      <c r="C117" s="1429" t="s">
        <v>550</v>
      </c>
      <c r="D117" s="1481" t="s">
        <v>551</v>
      </c>
      <c r="E117" s="1436">
        <v>19089</v>
      </c>
      <c r="F117" s="1436">
        <v>190890</v>
      </c>
      <c r="G117" s="1437">
        <f t="shared" si="18"/>
        <v>10</v>
      </c>
    </row>
    <row r="118" spans="1:7" ht="17.100000000000001" customHeight="1">
      <c r="A118" s="548"/>
      <c r="B118" s="2781"/>
      <c r="C118" s="1429" t="s">
        <v>552</v>
      </c>
      <c r="D118" s="1481" t="s">
        <v>551</v>
      </c>
      <c r="E118" s="1436">
        <v>10911</v>
      </c>
      <c r="F118" s="1436">
        <v>109110</v>
      </c>
      <c r="G118" s="1437">
        <f t="shared" si="18"/>
        <v>10</v>
      </c>
    </row>
    <row r="119" spans="1:7" ht="17.100000000000001" customHeight="1">
      <c r="A119" s="548"/>
      <c r="B119" s="2781"/>
      <c r="C119" s="1429" t="s">
        <v>553</v>
      </c>
      <c r="D119" s="1481" t="s">
        <v>487</v>
      </c>
      <c r="E119" s="1436">
        <v>83355</v>
      </c>
      <c r="F119" s="1436">
        <v>154621</v>
      </c>
      <c r="G119" s="1437">
        <f t="shared" si="18"/>
        <v>1.8549697078759522</v>
      </c>
    </row>
    <row r="120" spans="1:7" ht="17.100000000000001" customHeight="1">
      <c r="A120" s="548"/>
      <c r="B120" s="2781"/>
      <c r="C120" s="1429" t="s">
        <v>554</v>
      </c>
      <c r="D120" s="1481" t="s">
        <v>487</v>
      </c>
      <c r="E120" s="1436">
        <v>47645</v>
      </c>
      <c r="F120" s="1436">
        <v>88379</v>
      </c>
      <c r="G120" s="1437">
        <f t="shared" si="18"/>
        <v>1.8549480533109455</v>
      </c>
    </row>
    <row r="121" spans="1:7" ht="17.100000000000001" customHeight="1">
      <c r="A121" s="548"/>
      <c r="B121" s="2781"/>
      <c r="C121" s="1429" t="s">
        <v>555</v>
      </c>
      <c r="D121" s="1481" t="s">
        <v>493</v>
      </c>
      <c r="E121" s="1436">
        <v>3182</v>
      </c>
      <c r="F121" s="1436">
        <v>1909</v>
      </c>
      <c r="G121" s="1437">
        <f t="shared" si="18"/>
        <v>0.59993714644877438</v>
      </c>
    </row>
    <row r="122" spans="1:7" ht="17.100000000000001" customHeight="1">
      <c r="A122" s="548"/>
      <c r="B122" s="2781"/>
      <c r="C122" s="1429" t="s">
        <v>556</v>
      </c>
      <c r="D122" s="1481" t="s">
        <v>493</v>
      </c>
      <c r="E122" s="1436">
        <v>1818</v>
      </c>
      <c r="F122" s="1436">
        <v>1091</v>
      </c>
      <c r="G122" s="1437">
        <f t="shared" si="18"/>
        <v>0.60011001100110006</v>
      </c>
    </row>
    <row r="123" spans="1:7" ht="17.100000000000001" customHeight="1">
      <c r="A123" s="548"/>
      <c r="B123" s="2781"/>
      <c r="C123" s="1429" t="s">
        <v>557</v>
      </c>
      <c r="D123" s="1481" t="s">
        <v>497</v>
      </c>
      <c r="E123" s="1436">
        <v>298425</v>
      </c>
      <c r="F123" s="1436">
        <v>790285</v>
      </c>
      <c r="G123" s="1437">
        <f t="shared" si="18"/>
        <v>2.6481863114685433</v>
      </c>
    </row>
    <row r="124" spans="1:7" ht="17.100000000000001" customHeight="1">
      <c r="A124" s="548"/>
      <c r="B124" s="2781"/>
      <c r="C124" s="1429" t="s">
        <v>558</v>
      </c>
      <c r="D124" s="1481" t="s">
        <v>497</v>
      </c>
      <c r="E124" s="1436">
        <v>170575</v>
      </c>
      <c r="F124" s="1436">
        <v>451715</v>
      </c>
      <c r="G124" s="1437">
        <f t="shared" si="18"/>
        <v>2.6481899457716547</v>
      </c>
    </row>
    <row r="125" spans="1:7" ht="17.100000000000001" customHeight="1">
      <c r="A125" s="548"/>
      <c r="B125" s="2781"/>
      <c r="C125" s="1429" t="s">
        <v>559</v>
      </c>
      <c r="D125" s="1481" t="s">
        <v>501</v>
      </c>
      <c r="E125" s="1436">
        <v>636</v>
      </c>
      <c r="F125" s="1436">
        <v>636</v>
      </c>
      <c r="G125" s="1437">
        <f t="shared" si="18"/>
        <v>1</v>
      </c>
    </row>
    <row r="126" spans="1:7" ht="17.100000000000001" customHeight="1">
      <c r="A126" s="548"/>
      <c r="B126" s="2781"/>
      <c r="C126" s="1429" t="s">
        <v>560</v>
      </c>
      <c r="D126" s="1481" t="s">
        <v>501</v>
      </c>
      <c r="E126" s="1436">
        <v>364</v>
      </c>
      <c r="F126" s="1436">
        <v>364</v>
      </c>
      <c r="G126" s="1437">
        <f t="shared" si="18"/>
        <v>1</v>
      </c>
    </row>
    <row r="127" spans="1:7" ht="17.100000000000001" customHeight="1">
      <c r="A127" s="548"/>
      <c r="B127" s="2781"/>
      <c r="C127" s="1429" t="s">
        <v>561</v>
      </c>
      <c r="D127" s="1481" t="s">
        <v>505</v>
      </c>
      <c r="E127" s="1436">
        <v>6363</v>
      </c>
      <c r="F127" s="1436">
        <v>7636</v>
      </c>
      <c r="G127" s="1437">
        <f t="shared" si="18"/>
        <v>1.2000628634292001</v>
      </c>
    </row>
    <row r="128" spans="1:7" ht="17.100000000000001" customHeight="1">
      <c r="A128" s="548"/>
      <c r="B128" s="2781"/>
      <c r="C128" s="1429" t="s">
        <v>562</v>
      </c>
      <c r="D128" s="1481" t="s">
        <v>505</v>
      </c>
      <c r="E128" s="1436">
        <v>3637</v>
      </c>
      <c r="F128" s="1436">
        <v>4364</v>
      </c>
      <c r="G128" s="1437">
        <f t="shared" si="18"/>
        <v>1.1998900192466317</v>
      </c>
    </row>
    <row r="129" spans="1:7" ht="17.100000000000001" customHeight="1">
      <c r="A129" s="548"/>
      <c r="B129" s="2781"/>
      <c r="C129" s="1429" t="s">
        <v>563</v>
      </c>
      <c r="D129" s="1481" t="s">
        <v>507</v>
      </c>
      <c r="E129" s="1436">
        <v>9544</v>
      </c>
      <c r="F129" s="1436">
        <v>9544</v>
      </c>
      <c r="G129" s="1437">
        <f t="shared" si="18"/>
        <v>1</v>
      </c>
    </row>
    <row r="130" spans="1:7" ht="17.100000000000001" customHeight="1">
      <c r="A130" s="548"/>
      <c r="B130" s="2781"/>
      <c r="C130" s="1429" t="s">
        <v>564</v>
      </c>
      <c r="D130" s="1481" t="s">
        <v>507</v>
      </c>
      <c r="E130" s="1436">
        <v>5456</v>
      </c>
      <c r="F130" s="1436">
        <v>5456</v>
      </c>
      <c r="G130" s="1437">
        <f t="shared" si="18"/>
        <v>1</v>
      </c>
    </row>
    <row r="131" spans="1:7" ht="17.100000000000001" customHeight="1">
      <c r="A131" s="548"/>
      <c r="B131" s="2781"/>
      <c r="C131" s="1429" t="s">
        <v>565</v>
      </c>
      <c r="D131" s="1481" t="s">
        <v>519</v>
      </c>
      <c r="E131" s="1436">
        <v>8908</v>
      </c>
      <c r="F131" s="1436">
        <v>8908</v>
      </c>
      <c r="G131" s="1437">
        <f t="shared" si="18"/>
        <v>1</v>
      </c>
    </row>
    <row r="132" spans="1:7" ht="17.100000000000001" customHeight="1" thickBot="1">
      <c r="A132" s="548"/>
      <c r="B132" s="2782"/>
      <c r="C132" s="1482" t="s">
        <v>566</v>
      </c>
      <c r="D132" s="1483" t="s">
        <v>519</v>
      </c>
      <c r="E132" s="1436">
        <v>5092</v>
      </c>
      <c r="F132" s="1436">
        <v>5092</v>
      </c>
      <c r="G132" s="1437">
        <f t="shared" si="18"/>
        <v>1</v>
      </c>
    </row>
    <row r="133" spans="1:7" ht="17.100000000000001" customHeight="1" thickBot="1">
      <c r="A133" s="548"/>
      <c r="B133" s="559" t="s">
        <v>110</v>
      </c>
      <c r="C133" s="560"/>
      <c r="D133" s="561" t="s">
        <v>234</v>
      </c>
      <c r="E133" s="562">
        <f t="shared" ref="E133:F133" si="26">E134+E144</f>
        <v>13363032</v>
      </c>
      <c r="F133" s="562">
        <f t="shared" si="26"/>
        <v>9500000</v>
      </c>
      <c r="G133" s="1478">
        <f t="shared" si="18"/>
        <v>0.71091650457770361</v>
      </c>
    </row>
    <row r="134" spans="1:7" ht="17.100000000000001" customHeight="1">
      <c r="A134" s="548"/>
      <c r="B134" s="563"/>
      <c r="C134" s="2790" t="s">
        <v>470</v>
      </c>
      <c r="D134" s="2790"/>
      <c r="E134" s="549">
        <f t="shared" ref="E134:F134" si="27">E135+E140</f>
        <v>3722132</v>
      </c>
      <c r="F134" s="549">
        <f t="shared" si="27"/>
        <v>3350000</v>
      </c>
      <c r="G134" s="1424">
        <f t="shared" si="18"/>
        <v>0.90002181545415372</v>
      </c>
    </row>
    <row r="135" spans="1:7" ht="17.100000000000001" customHeight="1">
      <c r="A135" s="548"/>
      <c r="B135" s="563"/>
      <c r="C135" s="2785" t="s">
        <v>471</v>
      </c>
      <c r="D135" s="2785"/>
      <c r="E135" s="1436">
        <f t="shared" ref="E135:F135" si="28">E136</f>
        <v>130000</v>
      </c>
      <c r="F135" s="1436">
        <f t="shared" si="28"/>
        <v>150000</v>
      </c>
      <c r="G135" s="1437">
        <f t="shared" si="18"/>
        <v>1.1538461538461537</v>
      </c>
    </row>
    <row r="136" spans="1:7" ht="17.100000000000001" customHeight="1">
      <c r="A136" s="548"/>
      <c r="B136" s="563"/>
      <c r="C136" s="2778" t="s">
        <v>483</v>
      </c>
      <c r="D136" s="2778"/>
      <c r="E136" s="1436">
        <f t="shared" ref="E136:F136" si="29">SUM(E137:E138)</f>
        <v>130000</v>
      </c>
      <c r="F136" s="1436">
        <f t="shared" si="29"/>
        <v>150000</v>
      </c>
      <c r="G136" s="1437">
        <f t="shared" si="18"/>
        <v>1.1538461538461537</v>
      </c>
    </row>
    <row r="137" spans="1:7" ht="17.100000000000001" customHeight="1">
      <c r="A137" s="548"/>
      <c r="B137" s="563"/>
      <c r="C137" s="1429" t="s">
        <v>486</v>
      </c>
      <c r="D137" s="1430" t="s">
        <v>487</v>
      </c>
      <c r="E137" s="1436">
        <v>100000</v>
      </c>
      <c r="F137" s="1436">
        <v>120000</v>
      </c>
      <c r="G137" s="1437">
        <f t="shared" ref="G137:G204" si="30">F137/E137</f>
        <v>1.2</v>
      </c>
    </row>
    <row r="138" spans="1:7" ht="17.100000000000001" customHeight="1">
      <c r="A138" s="548"/>
      <c r="B138" s="563"/>
      <c r="C138" s="1429" t="s">
        <v>496</v>
      </c>
      <c r="D138" s="1430" t="s">
        <v>497</v>
      </c>
      <c r="E138" s="1436">
        <v>30000</v>
      </c>
      <c r="F138" s="1436">
        <v>30000</v>
      </c>
      <c r="G138" s="1437">
        <f t="shared" si="30"/>
        <v>1</v>
      </c>
    </row>
    <row r="139" spans="1:7" ht="17.100000000000001" customHeight="1">
      <c r="A139" s="548"/>
      <c r="B139" s="563"/>
      <c r="C139" s="2791"/>
      <c r="D139" s="2792"/>
      <c r="E139" s="550"/>
      <c r="F139" s="550"/>
      <c r="G139" s="1433"/>
    </row>
    <row r="140" spans="1:7" ht="17.100000000000001" customHeight="1">
      <c r="A140" s="548"/>
      <c r="B140" s="563"/>
      <c r="C140" s="2785" t="s">
        <v>567</v>
      </c>
      <c r="D140" s="2785"/>
      <c r="E140" s="1436">
        <f t="shared" ref="E140:F140" si="31">SUM(E141:E142)</f>
        <v>3592132</v>
      </c>
      <c r="F140" s="1436">
        <f t="shared" si="31"/>
        <v>3200000</v>
      </c>
      <c r="G140" s="1437">
        <f t="shared" si="30"/>
        <v>0.89083586015213245</v>
      </c>
    </row>
    <row r="141" spans="1:7" ht="30.75" customHeight="1">
      <c r="A141" s="548"/>
      <c r="B141" s="563"/>
      <c r="C141" s="1429" t="s">
        <v>568</v>
      </c>
      <c r="D141" s="1430" t="s">
        <v>569</v>
      </c>
      <c r="E141" s="1436">
        <v>3542132</v>
      </c>
      <c r="F141" s="1436">
        <v>3000000</v>
      </c>
      <c r="G141" s="1437">
        <f t="shared" si="30"/>
        <v>0.84694754458614185</v>
      </c>
    </row>
    <row r="142" spans="1:7" ht="30.75" customHeight="1">
      <c r="A142" s="548"/>
      <c r="B142" s="563"/>
      <c r="C142" s="1429" t="s">
        <v>432</v>
      </c>
      <c r="D142" s="1430" t="s">
        <v>570</v>
      </c>
      <c r="E142" s="1436">
        <v>50000</v>
      </c>
      <c r="F142" s="1436">
        <v>200000</v>
      </c>
      <c r="G142" s="1437">
        <f t="shared" si="30"/>
        <v>4</v>
      </c>
    </row>
    <row r="143" spans="1:7" ht="17.100000000000001" customHeight="1">
      <c r="A143" s="548"/>
      <c r="B143" s="2771"/>
      <c r="C143" s="2791"/>
      <c r="D143" s="2792"/>
      <c r="E143" s="550"/>
      <c r="F143" s="550"/>
      <c r="G143" s="1433"/>
    </row>
    <row r="144" spans="1:7" ht="17.100000000000001" customHeight="1">
      <c r="A144" s="548"/>
      <c r="B144" s="2771"/>
      <c r="C144" s="2793" t="s">
        <v>523</v>
      </c>
      <c r="D144" s="2793"/>
      <c r="E144" s="1484">
        <f t="shared" ref="E144:F144" si="32">E145</f>
        <v>9640900</v>
      </c>
      <c r="F144" s="1484">
        <f t="shared" si="32"/>
        <v>6150000</v>
      </c>
      <c r="G144" s="1485">
        <f t="shared" si="30"/>
        <v>0.63790724932319598</v>
      </c>
    </row>
    <row r="145" spans="1:7" ht="17.100000000000001" customHeight="1">
      <c r="A145" s="548"/>
      <c r="B145" s="2771"/>
      <c r="C145" s="2767" t="s">
        <v>524</v>
      </c>
      <c r="D145" s="2767"/>
      <c r="E145" s="1436">
        <f t="shared" ref="E145:F145" si="33">SUM(E146:E148)</f>
        <v>9640900</v>
      </c>
      <c r="F145" s="1436">
        <f t="shared" si="33"/>
        <v>6150000</v>
      </c>
      <c r="G145" s="1437">
        <f t="shared" si="30"/>
        <v>0.63790724932319598</v>
      </c>
    </row>
    <row r="146" spans="1:7" ht="17.100000000000001" customHeight="1">
      <c r="A146" s="548"/>
      <c r="B146" s="2771"/>
      <c r="C146" s="1429" t="s">
        <v>525</v>
      </c>
      <c r="D146" s="1430" t="s">
        <v>571</v>
      </c>
      <c r="E146" s="1436">
        <v>335000</v>
      </c>
      <c r="F146" s="1436">
        <v>260000</v>
      </c>
      <c r="G146" s="1437">
        <f t="shared" si="30"/>
        <v>0.77611940298507465</v>
      </c>
    </row>
    <row r="147" spans="1:7" ht="37.5" customHeight="1">
      <c r="A147" s="548"/>
      <c r="B147" s="2771"/>
      <c r="C147" s="1429" t="s">
        <v>572</v>
      </c>
      <c r="D147" s="1430" t="s">
        <v>573</v>
      </c>
      <c r="E147" s="1436">
        <v>9225900</v>
      </c>
      <c r="F147" s="1436">
        <v>5690000</v>
      </c>
      <c r="G147" s="1437">
        <f t="shared" si="30"/>
        <v>0.61674199807064889</v>
      </c>
    </row>
    <row r="148" spans="1:7" ht="39" thickBot="1">
      <c r="A148" s="548"/>
      <c r="B148" s="2771"/>
      <c r="C148" s="1443" t="s">
        <v>574</v>
      </c>
      <c r="D148" s="1444" t="s">
        <v>575</v>
      </c>
      <c r="E148" s="719">
        <v>80000</v>
      </c>
      <c r="F148" s="719">
        <v>200000</v>
      </c>
      <c r="G148" s="1477">
        <f t="shared" si="30"/>
        <v>2.5</v>
      </c>
    </row>
    <row r="149" spans="1:7" ht="16.5" hidden="1" customHeight="1" thickBot="1">
      <c r="A149" s="548"/>
      <c r="B149" s="559" t="s">
        <v>237</v>
      </c>
      <c r="C149" s="560"/>
      <c r="D149" s="561" t="s">
        <v>238</v>
      </c>
      <c r="E149" s="562">
        <f>E150</f>
        <v>0</v>
      </c>
      <c r="F149" s="562">
        <f t="shared" ref="F149:F151" si="34">F150</f>
        <v>0</v>
      </c>
      <c r="G149" s="1478" t="e">
        <f t="shared" si="30"/>
        <v>#DIV/0!</v>
      </c>
    </row>
    <row r="150" spans="1:7" ht="15.75" hidden="1" customHeight="1">
      <c r="A150" s="548"/>
      <c r="B150" s="741"/>
      <c r="C150" s="2793" t="s">
        <v>523</v>
      </c>
      <c r="D150" s="2793"/>
      <c r="E150" s="1486">
        <f>E151</f>
        <v>0</v>
      </c>
      <c r="F150" s="1486">
        <f t="shared" si="34"/>
        <v>0</v>
      </c>
      <c r="G150" s="1487" t="e">
        <f t="shared" si="30"/>
        <v>#DIV/0!</v>
      </c>
    </row>
    <row r="151" spans="1:7" ht="16.5" hidden="1" customHeight="1">
      <c r="A151" s="548"/>
      <c r="B151" s="741"/>
      <c r="C151" s="2767" t="s">
        <v>524</v>
      </c>
      <c r="D151" s="2767"/>
      <c r="E151" s="1436">
        <f>E152</f>
        <v>0</v>
      </c>
      <c r="F151" s="1436">
        <f t="shared" si="34"/>
        <v>0</v>
      </c>
      <c r="G151" s="1437" t="e">
        <f t="shared" si="30"/>
        <v>#DIV/0!</v>
      </c>
    </row>
    <row r="152" spans="1:7" ht="51.75" hidden="1" thickBot="1">
      <c r="A152" s="548"/>
      <c r="B152" s="741"/>
      <c r="C152" s="1434" t="s">
        <v>532</v>
      </c>
      <c r="D152" s="1472" t="s">
        <v>576</v>
      </c>
      <c r="E152" s="552"/>
      <c r="F152" s="552">
        <v>0</v>
      </c>
      <c r="G152" s="1445" t="e">
        <f t="shared" si="30"/>
        <v>#DIV/0!</v>
      </c>
    </row>
    <row r="153" spans="1:7" ht="17.100000000000001" customHeight="1" thickBot="1">
      <c r="A153" s="548"/>
      <c r="B153" s="559" t="s">
        <v>111</v>
      </c>
      <c r="C153" s="560"/>
      <c r="D153" s="561" t="s">
        <v>239</v>
      </c>
      <c r="E153" s="562">
        <f t="shared" ref="E153:F153" si="35">E154</f>
        <v>6705304</v>
      </c>
      <c r="F153" s="562">
        <f t="shared" si="35"/>
        <v>5758655</v>
      </c>
      <c r="G153" s="1478">
        <f t="shared" si="30"/>
        <v>0.8588208677787017</v>
      </c>
    </row>
    <row r="154" spans="1:7" ht="17.100000000000001" customHeight="1">
      <c r="A154" s="548"/>
      <c r="B154" s="741"/>
      <c r="C154" s="2790" t="s">
        <v>470</v>
      </c>
      <c r="D154" s="2790"/>
      <c r="E154" s="549">
        <f>E155+E172</f>
        <v>6705304</v>
      </c>
      <c r="F154" s="549">
        <f>F155+F172</f>
        <v>5758655</v>
      </c>
      <c r="G154" s="1424">
        <f t="shared" si="30"/>
        <v>0.8588208677787017</v>
      </c>
    </row>
    <row r="155" spans="1:7" ht="17.100000000000001" customHeight="1">
      <c r="A155" s="548"/>
      <c r="B155" s="741"/>
      <c r="C155" s="2785" t="s">
        <v>471</v>
      </c>
      <c r="D155" s="2785"/>
      <c r="E155" s="1436">
        <f>E162+E156</f>
        <v>3391219</v>
      </c>
      <c r="F155" s="1436">
        <f>F162+F156</f>
        <v>2444570</v>
      </c>
      <c r="G155" s="1437">
        <f t="shared" si="30"/>
        <v>0.72085288505401746</v>
      </c>
    </row>
    <row r="156" spans="1:7" ht="17.100000000000001" customHeight="1">
      <c r="A156" s="548"/>
      <c r="B156" s="741"/>
      <c r="C156" s="2795" t="s">
        <v>472</v>
      </c>
      <c r="D156" s="2796"/>
      <c r="E156" s="1461">
        <f>SUM(E157:E160)</f>
        <v>986124</v>
      </c>
      <c r="F156" s="1461">
        <f>SUM(F157:F160)</f>
        <v>900215</v>
      </c>
      <c r="G156" s="1462">
        <f t="shared" si="30"/>
        <v>0.91288215275158091</v>
      </c>
    </row>
    <row r="157" spans="1:7" ht="17.100000000000001" customHeight="1">
      <c r="A157" s="548"/>
      <c r="B157" s="741"/>
      <c r="C157" s="1488" t="s">
        <v>473</v>
      </c>
      <c r="D157" s="1489" t="s">
        <v>474</v>
      </c>
      <c r="E157" s="1436">
        <v>815772</v>
      </c>
      <c r="F157" s="1436">
        <v>699436</v>
      </c>
      <c r="G157" s="1437">
        <f t="shared" si="30"/>
        <v>0.8573915260636551</v>
      </c>
    </row>
    <row r="158" spans="1:7" ht="17.100000000000001" customHeight="1">
      <c r="A158" s="548"/>
      <c r="B158" s="741"/>
      <c r="C158" s="1488" t="s">
        <v>475</v>
      </c>
      <c r="D158" s="1430" t="s">
        <v>476</v>
      </c>
      <c r="E158" s="1436">
        <v>45093</v>
      </c>
      <c r="F158" s="1436">
        <v>53000</v>
      </c>
      <c r="G158" s="1437">
        <f t="shared" si="30"/>
        <v>1.175348723748697</v>
      </c>
    </row>
    <row r="159" spans="1:7" ht="17.100000000000001" customHeight="1">
      <c r="A159" s="548"/>
      <c r="B159" s="741"/>
      <c r="C159" s="1488" t="s">
        <v>477</v>
      </c>
      <c r="D159" s="1489" t="s">
        <v>478</v>
      </c>
      <c r="E159" s="1436">
        <v>109783</v>
      </c>
      <c r="F159" s="1436">
        <v>129344</v>
      </c>
      <c r="G159" s="1437">
        <f t="shared" si="30"/>
        <v>1.1781787708479454</v>
      </c>
    </row>
    <row r="160" spans="1:7" ht="27" customHeight="1">
      <c r="A160" s="548"/>
      <c r="B160" s="741"/>
      <c r="C160" s="1490" t="s">
        <v>479</v>
      </c>
      <c r="D160" s="1491" t="s">
        <v>1028</v>
      </c>
      <c r="E160" s="1436">
        <v>15476</v>
      </c>
      <c r="F160" s="1436">
        <v>18435</v>
      </c>
      <c r="G160" s="1437">
        <f t="shared" si="30"/>
        <v>1.1911992762987853</v>
      </c>
    </row>
    <row r="161" spans="1:7" ht="17.100000000000001" customHeight="1">
      <c r="A161" s="548"/>
      <c r="B161" s="741"/>
      <c r="C161" s="2797"/>
      <c r="D161" s="2798"/>
      <c r="E161" s="1436"/>
      <c r="F161" s="1436"/>
      <c r="G161" s="1437"/>
    </row>
    <row r="162" spans="1:7" ht="17.100000000000001" customHeight="1">
      <c r="A162" s="548"/>
      <c r="B162" s="741"/>
      <c r="C162" s="2778" t="s">
        <v>483</v>
      </c>
      <c r="D162" s="2778"/>
      <c r="E162" s="1436">
        <f>SUM(E163:E170)</f>
        <v>2405095</v>
      </c>
      <c r="F162" s="1436">
        <f>SUM(F163:F170)</f>
        <v>1544355</v>
      </c>
      <c r="G162" s="1437">
        <f t="shared" si="30"/>
        <v>0.6421180868115397</v>
      </c>
    </row>
    <row r="163" spans="1:7" ht="17.100000000000001" customHeight="1">
      <c r="A163" s="548"/>
      <c r="B163" s="741"/>
      <c r="C163" s="1492" t="s">
        <v>484</v>
      </c>
      <c r="D163" s="1493" t="s">
        <v>485</v>
      </c>
      <c r="E163" s="1436">
        <v>17196</v>
      </c>
      <c r="F163" s="1436">
        <v>27840</v>
      </c>
      <c r="G163" s="1437">
        <f t="shared" si="30"/>
        <v>1.6189811584089324</v>
      </c>
    </row>
    <row r="164" spans="1:7" ht="17.100000000000001" customHeight="1">
      <c r="A164" s="548"/>
      <c r="B164" s="741"/>
      <c r="C164" s="1429" t="s">
        <v>577</v>
      </c>
      <c r="D164" s="1493" t="s">
        <v>551</v>
      </c>
      <c r="E164" s="1436">
        <f>20000+14541</f>
        <v>34541</v>
      </c>
      <c r="F164" s="1436">
        <f>20000+19032</f>
        <v>39032</v>
      </c>
      <c r="G164" s="1437">
        <f t="shared" si="30"/>
        <v>1.130019397238065</v>
      </c>
    </row>
    <row r="165" spans="1:7" ht="17.100000000000001" customHeight="1">
      <c r="A165" s="548"/>
      <c r="B165" s="741"/>
      <c r="C165" s="1429" t="s">
        <v>486</v>
      </c>
      <c r="D165" s="1493" t="s">
        <v>487</v>
      </c>
      <c r="E165" s="1436">
        <v>131000</v>
      </c>
      <c r="F165" s="1436">
        <v>50000</v>
      </c>
      <c r="G165" s="1437">
        <f t="shared" si="30"/>
        <v>0.38167938931297712</v>
      </c>
    </row>
    <row r="166" spans="1:7" ht="17.100000000000001" customHeight="1">
      <c r="A166" s="548"/>
      <c r="B166" s="746"/>
      <c r="C166" s="1429" t="s">
        <v>496</v>
      </c>
      <c r="D166" s="1430" t="s">
        <v>497</v>
      </c>
      <c r="E166" s="1436">
        <f>3837+263800</f>
        <v>267637</v>
      </c>
      <c r="F166" s="1436">
        <f>1014280+183600</f>
        <v>1197880</v>
      </c>
      <c r="G166" s="1437">
        <f t="shared" si="30"/>
        <v>4.4757638144202785</v>
      </c>
    </row>
    <row r="167" spans="1:7" ht="17.100000000000001" customHeight="1">
      <c r="A167" s="548"/>
      <c r="B167" s="746"/>
      <c r="C167" s="1429" t="s">
        <v>500</v>
      </c>
      <c r="D167" s="1430" t="s">
        <v>501</v>
      </c>
      <c r="E167" s="1436">
        <v>720000</v>
      </c>
      <c r="F167" s="1436">
        <v>208080</v>
      </c>
      <c r="G167" s="1437">
        <f t="shared" si="30"/>
        <v>0.28899999999999998</v>
      </c>
    </row>
    <row r="168" spans="1:7" ht="17.100000000000001" customHeight="1">
      <c r="A168" s="548"/>
      <c r="B168" s="746"/>
      <c r="C168" s="1429" t="s">
        <v>508</v>
      </c>
      <c r="D168" s="1430" t="s">
        <v>509</v>
      </c>
      <c r="E168" s="1436">
        <v>0</v>
      </c>
      <c r="F168" s="1436">
        <v>16523</v>
      </c>
      <c r="G168" s="1437"/>
    </row>
    <row r="169" spans="1:7" ht="17.100000000000001" hidden="1" customHeight="1">
      <c r="A169" s="548"/>
      <c r="B169" s="746"/>
      <c r="C169" s="1429" t="s">
        <v>578</v>
      </c>
      <c r="D169" s="1430" t="s">
        <v>579</v>
      </c>
      <c r="E169" s="1436">
        <v>1229721</v>
      </c>
      <c r="F169" s="1436">
        <v>0</v>
      </c>
      <c r="G169" s="1437">
        <f t="shared" si="30"/>
        <v>0</v>
      </c>
    </row>
    <row r="170" spans="1:7" ht="17.100000000000001" customHeight="1">
      <c r="A170" s="548"/>
      <c r="B170" s="746"/>
      <c r="C170" s="1429" t="s">
        <v>580</v>
      </c>
      <c r="D170" s="1430" t="s">
        <v>581</v>
      </c>
      <c r="E170" s="1436">
        <v>5000</v>
      </c>
      <c r="F170" s="1436">
        <v>5000</v>
      </c>
      <c r="G170" s="1437">
        <f t="shared" si="30"/>
        <v>1</v>
      </c>
    </row>
    <row r="171" spans="1:7" ht="17.100000000000001" customHeight="1">
      <c r="A171" s="548"/>
      <c r="B171" s="746"/>
      <c r="C171" s="1494"/>
      <c r="D171" s="1494"/>
      <c r="E171" s="1495"/>
      <c r="F171" s="1495"/>
      <c r="G171" s="1496"/>
    </row>
    <row r="172" spans="1:7" ht="17.100000000000001" customHeight="1">
      <c r="A172" s="548"/>
      <c r="B172" s="746"/>
      <c r="C172" s="2794" t="s">
        <v>567</v>
      </c>
      <c r="D172" s="2794"/>
      <c r="E172" s="564">
        <f t="shared" ref="E172:F172" si="36">E173</f>
        <v>3314085</v>
      </c>
      <c r="F172" s="564">
        <f t="shared" si="36"/>
        <v>3314085</v>
      </c>
      <c r="G172" s="1497">
        <f t="shared" si="30"/>
        <v>1</v>
      </c>
    </row>
    <row r="173" spans="1:7" ht="53.25" customHeight="1" thickBot="1">
      <c r="A173" s="548"/>
      <c r="B173" s="746"/>
      <c r="C173" s="1498" t="s">
        <v>582</v>
      </c>
      <c r="D173" s="1483" t="s">
        <v>583</v>
      </c>
      <c r="E173" s="552">
        <v>3314085</v>
      </c>
      <c r="F173" s="552">
        <v>3314085</v>
      </c>
      <c r="G173" s="1445">
        <f t="shared" si="30"/>
        <v>1</v>
      </c>
    </row>
    <row r="174" spans="1:7" ht="17.100000000000001" customHeight="1" thickBot="1">
      <c r="A174" s="545" t="s">
        <v>241</v>
      </c>
      <c r="B174" s="565"/>
      <c r="C174" s="566"/>
      <c r="D174" s="567" t="s">
        <v>584</v>
      </c>
      <c r="E174" s="568">
        <f>SUM(E175)</f>
        <v>523334</v>
      </c>
      <c r="F174" s="568">
        <f t="shared" ref="E174:F175" si="37">SUM(F175)</f>
        <v>520000</v>
      </c>
      <c r="G174" s="1499">
        <f t="shared" si="30"/>
        <v>0.99362930747858924</v>
      </c>
    </row>
    <row r="175" spans="1:7" ht="42.75" customHeight="1" thickBot="1">
      <c r="A175" s="548"/>
      <c r="B175" s="559" t="s">
        <v>243</v>
      </c>
      <c r="C175" s="560"/>
      <c r="D175" s="561" t="s">
        <v>585</v>
      </c>
      <c r="E175" s="562">
        <f t="shared" si="37"/>
        <v>523334</v>
      </c>
      <c r="F175" s="562">
        <f t="shared" si="37"/>
        <v>520000</v>
      </c>
      <c r="G175" s="1478">
        <f t="shared" si="30"/>
        <v>0.99362930747858924</v>
      </c>
    </row>
    <row r="176" spans="1:7" ht="17.100000000000001" customHeight="1">
      <c r="A176" s="548"/>
      <c r="B176" s="2771"/>
      <c r="C176" s="2790" t="s">
        <v>470</v>
      </c>
      <c r="D176" s="2790"/>
      <c r="E176" s="549">
        <f t="shared" ref="E176:F176" si="38">E177</f>
        <v>523334</v>
      </c>
      <c r="F176" s="549">
        <f t="shared" si="38"/>
        <v>520000</v>
      </c>
      <c r="G176" s="1424">
        <f t="shared" si="30"/>
        <v>0.99362930747858924</v>
      </c>
    </row>
    <row r="177" spans="1:7" ht="17.100000000000001" customHeight="1">
      <c r="A177" s="548"/>
      <c r="B177" s="2771"/>
      <c r="C177" s="2785" t="s">
        <v>536</v>
      </c>
      <c r="D177" s="2785"/>
      <c r="E177" s="1436">
        <f>SUM(E178:E204)</f>
        <v>523334</v>
      </c>
      <c r="F177" s="1436">
        <f>SUM(F178:F204)</f>
        <v>520000</v>
      </c>
      <c r="G177" s="1437">
        <f t="shared" si="30"/>
        <v>0.99362930747858924</v>
      </c>
    </row>
    <row r="178" spans="1:7" ht="42.75" hidden="1" customHeight="1">
      <c r="A178" s="548"/>
      <c r="B178" s="2771"/>
      <c r="C178" s="1490" t="s">
        <v>586</v>
      </c>
      <c r="D178" s="1500" t="s">
        <v>587</v>
      </c>
      <c r="E178" s="1436">
        <v>2103</v>
      </c>
      <c r="F178" s="1436">
        <v>0</v>
      </c>
      <c r="G178" s="1437">
        <f t="shared" si="30"/>
        <v>0</v>
      </c>
    </row>
    <row r="179" spans="1:7" ht="39" hidden="1" customHeight="1">
      <c r="A179" s="548"/>
      <c r="B179" s="2771"/>
      <c r="C179" s="1490" t="s">
        <v>391</v>
      </c>
      <c r="D179" s="1500" t="s">
        <v>587</v>
      </c>
      <c r="E179" s="1436">
        <v>701</v>
      </c>
      <c r="F179" s="1436">
        <v>0</v>
      </c>
      <c r="G179" s="1437">
        <f t="shared" si="30"/>
        <v>0</v>
      </c>
    </row>
    <row r="180" spans="1:7" ht="17.100000000000001" customHeight="1">
      <c r="A180" s="548"/>
      <c r="B180" s="2771"/>
      <c r="C180" s="1429" t="s">
        <v>540</v>
      </c>
      <c r="D180" s="1430" t="s">
        <v>474</v>
      </c>
      <c r="E180" s="1436">
        <v>288750</v>
      </c>
      <c r="F180" s="1436">
        <v>297450</v>
      </c>
      <c r="G180" s="1437">
        <f t="shared" si="30"/>
        <v>1.0301298701298702</v>
      </c>
    </row>
    <row r="181" spans="1:7" ht="17.100000000000001" customHeight="1">
      <c r="A181" s="548"/>
      <c r="B181" s="746"/>
      <c r="C181" s="1429" t="s">
        <v>541</v>
      </c>
      <c r="D181" s="1430" t="s">
        <v>474</v>
      </c>
      <c r="E181" s="1436">
        <v>96250</v>
      </c>
      <c r="F181" s="1436">
        <v>99150</v>
      </c>
      <c r="G181" s="1437">
        <f t="shared" si="30"/>
        <v>1.0301298701298702</v>
      </c>
    </row>
    <row r="182" spans="1:7" ht="17.100000000000001" customHeight="1">
      <c r="A182" s="548"/>
      <c r="B182" s="746"/>
      <c r="C182" s="1429" t="s">
        <v>542</v>
      </c>
      <c r="D182" s="1430" t="s">
        <v>476</v>
      </c>
      <c r="E182" s="1436">
        <v>22500</v>
      </c>
      <c r="F182" s="1436">
        <v>22500</v>
      </c>
      <c r="G182" s="1437">
        <f t="shared" si="30"/>
        <v>1</v>
      </c>
    </row>
    <row r="183" spans="1:7" ht="17.100000000000001" customHeight="1">
      <c r="A183" s="548"/>
      <c r="B183" s="746"/>
      <c r="C183" s="1429" t="s">
        <v>543</v>
      </c>
      <c r="D183" s="1430" t="s">
        <v>476</v>
      </c>
      <c r="E183" s="1436">
        <v>7500</v>
      </c>
      <c r="F183" s="1436">
        <v>7500</v>
      </c>
      <c r="G183" s="1437">
        <f t="shared" si="30"/>
        <v>1</v>
      </c>
    </row>
    <row r="184" spans="1:7" ht="17.100000000000001" customHeight="1">
      <c r="A184" s="548"/>
      <c r="B184" s="746"/>
      <c r="C184" s="1429" t="s">
        <v>544</v>
      </c>
      <c r="D184" s="1430" t="s">
        <v>478</v>
      </c>
      <c r="E184" s="1436">
        <v>54000</v>
      </c>
      <c r="F184" s="1436">
        <v>54750</v>
      </c>
      <c r="G184" s="1437">
        <f t="shared" si="30"/>
        <v>1.0138888888888888</v>
      </c>
    </row>
    <row r="185" spans="1:7" ht="17.100000000000001" customHeight="1">
      <c r="A185" s="548"/>
      <c r="B185" s="746"/>
      <c r="C185" s="1429" t="s">
        <v>545</v>
      </c>
      <c r="D185" s="1430" t="s">
        <v>478</v>
      </c>
      <c r="E185" s="1436">
        <v>18000</v>
      </c>
      <c r="F185" s="1436">
        <v>18250</v>
      </c>
      <c r="G185" s="1437">
        <f t="shared" si="30"/>
        <v>1.0138888888888888</v>
      </c>
    </row>
    <row r="186" spans="1:7" ht="27.75" customHeight="1">
      <c r="A186" s="548"/>
      <c r="B186" s="746"/>
      <c r="C186" s="1429" t="s">
        <v>546</v>
      </c>
      <c r="D186" s="1430" t="s">
        <v>1028</v>
      </c>
      <c r="E186" s="1436">
        <v>7500</v>
      </c>
      <c r="F186" s="1436">
        <v>7800</v>
      </c>
      <c r="G186" s="1437">
        <f t="shared" si="30"/>
        <v>1.04</v>
      </c>
    </row>
    <row r="187" spans="1:7" ht="28.5" customHeight="1">
      <c r="A187" s="548"/>
      <c r="B187" s="746"/>
      <c r="C187" s="1429" t="s">
        <v>547</v>
      </c>
      <c r="D187" s="1430" t="s">
        <v>1028</v>
      </c>
      <c r="E187" s="1436">
        <v>2500</v>
      </c>
      <c r="F187" s="1436">
        <v>2600</v>
      </c>
      <c r="G187" s="1437">
        <f t="shared" si="30"/>
        <v>1.04</v>
      </c>
    </row>
    <row r="188" spans="1:7" ht="17.100000000000001" hidden="1" customHeight="1">
      <c r="A188" s="548"/>
      <c r="B188" s="746"/>
      <c r="C188" s="1429" t="s">
        <v>548</v>
      </c>
      <c r="D188" s="1430" t="s">
        <v>482</v>
      </c>
      <c r="E188" s="1436"/>
      <c r="F188" s="1436"/>
      <c r="G188" s="1437" t="e">
        <f t="shared" si="30"/>
        <v>#DIV/0!</v>
      </c>
    </row>
    <row r="189" spans="1:7" ht="17.100000000000001" hidden="1" customHeight="1">
      <c r="A189" s="548"/>
      <c r="B189" s="746"/>
      <c r="C189" s="1429" t="s">
        <v>549</v>
      </c>
      <c r="D189" s="1430" t="s">
        <v>482</v>
      </c>
      <c r="E189" s="1436"/>
      <c r="F189" s="1436"/>
      <c r="G189" s="1437" t="e">
        <f t="shared" si="30"/>
        <v>#DIV/0!</v>
      </c>
    </row>
    <row r="190" spans="1:7" ht="17.100000000000001" customHeight="1">
      <c r="A190" s="548"/>
      <c r="B190" s="746"/>
      <c r="C190" s="1429" t="s">
        <v>553</v>
      </c>
      <c r="D190" s="1430" t="s">
        <v>487</v>
      </c>
      <c r="E190" s="1436">
        <v>3000</v>
      </c>
      <c r="F190" s="1436">
        <v>1500</v>
      </c>
      <c r="G190" s="1437">
        <f t="shared" si="30"/>
        <v>0.5</v>
      </c>
    </row>
    <row r="191" spans="1:7" ht="17.100000000000001" customHeight="1">
      <c r="A191" s="548"/>
      <c r="B191" s="746"/>
      <c r="C191" s="1429" t="s">
        <v>554</v>
      </c>
      <c r="D191" s="1430" t="s">
        <v>487</v>
      </c>
      <c r="E191" s="1436">
        <v>1000</v>
      </c>
      <c r="F191" s="1436">
        <v>500</v>
      </c>
      <c r="G191" s="1437">
        <f t="shared" si="30"/>
        <v>0.5</v>
      </c>
    </row>
    <row r="192" spans="1:7" ht="17.100000000000001" customHeight="1">
      <c r="A192" s="548"/>
      <c r="B192" s="746"/>
      <c r="C192" s="1429" t="s">
        <v>555</v>
      </c>
      <c r="D192" s="1430" t="s">
        <v>493</v>
      </c>
      <c r="E192" s="1436">
        <v>2250</v>
      </c>
      <c r="F192" s="1436">
        <v>1500</v>
      </c>
      <c r="G192" s="1437">
        <f t="shared" si="30"/>
        <v>0.66666666666666663</v>
      </c>
    </row>
    <row r="193" spans="1:7" ht="17.100000000000001" customHeight="1">
      <c r="A193" s="548"/>
      <c r="B193" s="746"/>
      <c r="C193" s="1429" t="s">
        <v>556</v>
      </c>
      <c r="D193" s="1430" t="s">
        <v>493</v>
      </c>
      <c r="E193" s="1436">
        <v>750</v>
      </c>
      <c r="F193" s="1436">
        <v>500</v>
      </c>
      <c r="G193" s="1437">
        <f t="shared" si="30"/>
        <v>0.66666666666666663</v>
      </c>
    </row>
    <row r="194" spans="1:7" ht="17.100000000000001" customHeight="1">
      <c r="A194" s="548"/>
      <c r="B194" s="746"/>
      <c r="C194" s="1429" t="s">
        <v>557</v>
      </c>
      <c r="D194" s="1430" t="s">
        <v>497</v>
      </c>
      <c r="E194" s="1436">
        <v>1500</v>
      </c>
      <c r="F194" s="1436">
        <v>1500</v>
      </c>
      <c r="G194" s="1437">
        <f t="shared" si="30"/>
        <v>1</v>
      </c>
    </row>
    <row r="195" spans="1:7" ht="15.75" customHeight="1">
      <c r="A195" s="548"/>
      <c r="B195" s="746"/>
      <c r="C195" s="1429" t="s">
        <v>558</v>
      </c>
      <c r="D195" s="1430" t="s">
        <v>497</v>
      </c>
      <c r="E195" s="1436">
        <v>500</v>
      </c>
      <c r="F195" s="1436">
        <v>500</v>
      </c>
      <c r="G195" s="1437">
        <f t="shared" si="30"/>
        <v>1</v>
      </c>
    </row>
    <row r="196" spans="1:7" ht="15.75" hidden="1" customHeight="1">
      <c r="A196" s="548"/>
      <c r="B196" s="746"/>
      <c r="C196" s="1429" t="s">
        <v>559</v>
      </c>
      <c r="D196" s="1430" t="s">
        <v>588</v>
      </c>
      <c r="E196" s="1436"/>
      <c r="F196" s="1436"/>
      <c r="G196" s="1437" t="e">
        <f t="shared" si="30"/>
        <v>#DIV/0!</v>
      </c>
    </row>
    <row r="197" spans="1:7" ht="16.5" hidden="1" customHeight="1">
      <c r="A197" s="548"/>
      <c r="B197" s="746"/>
      <c r="C197" s="1429" t="s">
        <v>560</v>
      </c>
      <c r="D197" s="1430" t="s">
        <v>588</v>
      </c>
      <c r="E197" s="1436"/>
      <c r="F197" s="1436"/>
      <c r="G197" s="1437" t="e">
        <f t="shared" si="30"/>
        <v>#DIV/0!</v>
      </c>
    </row>
    <row r="198" spans="1:7" ht="17.100000000000001" customHeight="1">
      <c r="A198" s="548"/>
      <c r="B198" s="746"/>
      <c r="C198" s="1429" t="s">
        <v>561</v>
      </c>
      <c r="D198" s="1430" t="s">
        <v>505</v>
      </c>
      <c r="E198" s="1436">
        <v>3750</v>
      </c>
      <c r="F198" s="1436">
        <v>1125</v>
      </c>
      <c r="G198" s="1437">
        <f t="shared" si="30"/>
        <v>0.3</v>
      </c>
    </row>
    <row r="199" spans="1:7" ht="17.100000000000001" customHeight="1">
      <c r="A199" s="548"/>
      <c r="B199" s="746"/>
      <c r="C199" s="1429" t="s">
        <v>562</v>
      </c>
      <c r="D199" s="1430" t="s">
        <v>505</v>
      </c>
      <c r="E199" s="1436">
        <v>1250</v>
      </c>
      <c r="F199" s="1436">
        <v>375</v>
      </c>
      <c r="G199" s="1437">
        <f t="shared" si="30"/>
        <v>0.3</v>
      </c>
    </row>
    <row r="200" spans="1:7" ht="15" customHeight="1">
      <c r="A200" s="548"/>
      <c r="B200" s="746"/>
      <c r="C200" s="1429" t="s">
        <v>563</v>
      </c>
      <c r="D200" s="1430" t="s">
        <v>507</v>
      </c>
      <c r="E200" s="1436">
        <v>1500</v>
      </c>
      <c r="F200" s="1436">
        <v>750</v>
      </c>
      <c r="G200" s="1437">
        <f t="shared" si="30"/>
        <v>0.5</v>
      </c>
    </row>
    <row r="201" spans="1:7" ht="15" customHeight="1">
      <c r="A201" s="548"/>
      <c r="B201" s="746"/>
      <c r="C201" s="1429" t="s">
        <v>564</v>
      </c>
      <c r="D201" s="1430" t="s">
        <v>507</v>
      </c>
      <c r="E201" s="1436">
        <v>500</v>
      </c>
      <c r="F201" s="1436">
        <v>250</v>
      </c>
      <c r="G201" s="1437">
        <f t="shared" si="30"/>
        <v>0.5</v>
      </c>
    </row>
    <row r="202" spans="1:7" ht="37.5" hidden="1" customHeight="1">
      <c r="A202" s="548"/>
      <c r="B202" s="746"/>
      <c r="C202" s="1429" t="s">
        <v>589</v>
      </c>
      <c r="D202" s="1430" t="s">
        <v>590</v>
      </c>
      <c r="E202" s="1436">
        <v>530</v>
      </c>
      <c r="F202" s="1436">
        <v>0</v>
      </c>
      <c r="G202" s="1437">
        <f t="shared" si="30"/>
        <v>0</v>
      </c>
    </row>
    <row r="203" spans="1:7" ht="17.100000000000001" customHeight="1">
      <c r="A203" s="548"/>
      <c r="B203" s="746"/>
      <c r="C203" s="1429" t="s">
        <v>565</v>
      </c>
      <c r="D203" s="1430" t="s">
        <v>519</v>
      </c>
      <c r="E203" s="1436">
        <v>5250</v>
      </c>
      <c r="F203" s="1436">
        <v>1125</v>
      </c>
      <c r="G203" s="1437">
        <f t="shared" si="30"/>
        <v>0.21428571428571427</v>
      </c>
    </row>
    <row r="204" spans="1:7" ht="17.100000000000001" customHeight="1" thickBot="1">
      <c r="A204" s="548"/>
      <c r="B204" s="746"/>
      <c r="C204" s="1501" t="s">
        <v>566</v>
      </c>
      <c r="D204" s="1502" t="s">
        <v>519</v>
      </c>
      <c r="E204" s="1436">
        <v>1750</v>
      </c>
      <c r="F204" s="1436">
        <v>375</v>
      </c>
      <c r="G204" s="1437">
        <f t="shared" si="30"/>
        <v>0.21428571428571427</v>
      </c>
    </row>
    <row r="205" spans="1:7" ht="17.100000000000001" customHeight="1" thickBot="1">
      <c r="A205" s="545" t="s">
        <v>251</v>
      </c>
      <c r="B205" s="565"/>
      <c r="C205" s="569"/>
      <c r="D205" s="570" t="s">
        <v>591</v>
      </c>
      <c r="E205" s="568">
        <f>E206</f>
        <v>21653174</v>
      </c>
      <c r="F205" s="568">
        <f t="shared" ref="F205" si="39">F206</f>
        <v>24806245</v>
      </c>
      <c r="G205" s="1499">
        <f t="shared" ref="G205:G272" si="40">F205/E205</f>
        <v>1.1456170351746122</v>
      </c>
    </row>
    <row r="206" spans="1:7" ht="17.100000000000001" customHeight="1" thickBot="1">
      <c r="A206" s="548"/>
      <c r="B206" s="559" t="s">
        <v>253</v>
      </c>
      <c r="C206" s="560"/>
      <c r="D206" s="561" t="s">
        <v>254</v>
      </c>
      <c r="E206" s="562">
        <f>E207+E228</f>
        <v>21653174</v>
      </c>
      <c r="F206" s="562">
        <f t="shared" ref="F206" si="41">F207+F228</f>
        <v>24806245</v>
      </c>
      <c r="G206" s="1478">
        <f t="shared" si="40"/>
        <v>1.1456170351746122</v>
      </c>
    </row>
    <row r="207" spans="1:7" ht="17.100000000000001" customHeight="1">
      <c r="A207" s="548"/>
      <c r="B207" s="2771"/>
      <c r="C207" s="2790" t="s">
        <v>470</v>
      </c>
      <c r="D207" s="2790"/>
      <c r="E207" s="549">
        <f>E208+E214</f>
        <v>11569428</v>
      </c>
      <c r="F207" s="549">
        <f t="shared" ref="F207" si="42">F208+F214</f>
        <v>18090536</v>
      </c>
      <c r="G207" s="1424">
        <f t="shared" si="40"/>
        <v>1.563649992030721</v>
      </c>
    </row>
    <row r="208" spans="1:7" ht="17.100000000000001" customHeight="1">
      <c r="A208" s="548"/>
      <c r="B208" s="2771"/>
      <c r="C208" s="2785" t="s">
        <v>567</v>
      </c>
      <c r="D208" s="2785"/>
      <c r="E208" s="1436">
        <f>SUM(E209:E212)</f>
        <v>1567173</v>
      </c>
      <c r="F208" s="1436">
        <f t="shared" ref="F208" si="43">SUM(F209:F212)</f>
        <v>6044903</v>
      </c>
      <c r="G208" s="1437">
        <f t="shared" si="40"/>
        <v>3.857202108510037</v>
      </c>
    </row>
    <row r="209" spans="1:7" ht="63.75">
      <c r="A209" s="548"/>
      <c r="B209" s="2771"/>
      <c r="C209" s="1429" t="s">
        <v>420</v>
      </c>
      <c r="D209" s="1430" t="s">
        <v>592</v>
      </c>
      <c r="E209" s="1503">
        <v>1286585</v>
      </c>
      <c r="F209" s="1503">
        <v>6044903</v>
      </c>
      <c r="G209" s="1504">
        <f t="shared" si="40"/>
        <v>4.6984093549979207</v>
      </c>
    </row>
    <row r="210" spans="1:7" ht="51" hidden="1">
      <c r="A210" s="548"/>
      <c r="B210" s="2771"/>
      <c r="C210" s="1443" t="s">
        <v>303</v>
      </c>
      <c r="D210" s="1444" t="s">
        <v>539</v>
      </c>
      <c r="E210" s="719">
        <v>0</v>
      </c>
      <c r="F210" s="719">
        <v>0</v>
      </c>
      <c r="G210" s="1477" t="e">
        <f t="shared" si="40"/>
        <v>#DIV/0!</v>
      </c>
    </row>
    <row r="211" spans="1:7" ht="51" hidden="1">
      <c r="A211" s="548"/>
      <c r="B211" s="741"/>
      <c r="C211" s="717" t="s">
        <v>391</v>
      </c>
      <c r="D211" s="711" t="s">
        <v>593</v>
      </c>
      <c r="E211" s="718"/>
      <c r="F211" s="718"/>
      <c r="G211" s="1505" t="e">
        <f t="shared" si="40"/>
        <v>#DIV/0!</v>
      </c>
    </row>
    <row r="212" spans="1:7" ht="16.5" hidden="1" customHeight="1">
      <c r="A212" s="548"/>
      <c r="B212" s="741"/>
      <c r="C212" s="1506" t="s">
        <v>392</v>
      </c>
      <c r="D212" s="1507" t="s">
        <v>594</v>
      </c>
      <c r="E212" s="718">
        <v>280588</v>
      </c>
      <c r="F212" s="718">
        <v>0</v>
      </c>
      <c r="G212" s="1505">
        <f t="shared" si="40"/>
        <v>0</v>
      </c>
    </row>
    <row r="213" spans="1:7" ht="17.100000000000001" customHeight="1">
      <c r="A213" s="548"/>
      <c r="B213" s="741"/>
      <c r="C213" s="1508"/>
      <c r="D213" s="1509"/>
      <c r="E213" s="1464"/>
      <c r="F213" s="1464"/>
      <c r="G213" s="1465"/>
    </row>
    <row r="214" spans="1:7" ht="17.100000000000001" customHeight="1">
      <c r="A214" s="548"/>
      <c r="B214" s="741"/>
      <c r="C214" s="2794" t="s">
        <v>536</v>
      </c>
      <c r="D214" s="2794"/>
      <c r="E214" s="571">
        <f>SUM(E215:E226)</f>
        <v>10002255</v>
      </c>
      <c r="F214" s="571">
        <f t="shared" ref="F214" si="44">SUM(F215:F226)</f>
        <v>12045633</v>
      </c>
      <c r="G214" s="1510">
        <f t="shared" si="40"/>
        <v>1.2042917322143856</v>
      </c>
    </row>
    <row r="215" spans="1:7" ht="52.5" customHeight="1">
      <c r="A215" s="548"/>
      <c r="B215" s="741"/>
      <c r="C215" s="1511" t="s">
        <v>427</v>
      </c>
      <c r="D215" s="1512" t="s">
        <v>592</v>
      </c>
      <c r="E215" s="1467">
        <v>8724375</v>
      </c>
      <c r="F215" s="1467">
        <v>11409400</v>
      </c>
      <c r="G215" s="1465">
        <f t="shared" si="40"/>
        <v>1.3077613009527904</v>
      </c>
    </row>
    <row r="216" spans="1:7" ht="45" hidden="1" customHeight="1">
      <c r="A216" s="548"/>
      <c r="B216" s="741"/>
      <c r="C216" s="555" t="s">
        <v>305</v>
      </c>
      <c r="D216" s="1513" t="s">
        <v>433</v>
      </c>
      <c r="E216" s="1467">
        <v>49</v>
      </c>
      <c r="F216" s="1467">
        <v>0</v>
      </c>
      <c r="G216" s="1465">
        <f t="shared" si="40"/>
        <v>0</v>
      </c>
    </row>
    <row r="217" spans="1:7" ht="16.5" hidden="1" customHeight="1">
      <c r="A217" s="548"/>
      <c r="B217" s="741"/>
      <c r="C217" s="1514" t="s">
        <v>595</v>
      </c>
      <c r="D217" s="1513" t="s">
        <v>594</v>
      </c>
      <c r="E217" s="1467">
        <v>552241</v>
      </c>
      <c r="F217" s="1467">
        <v>0</v>
      </c>
      <c r="G217" s="1465">
        <f t="shared" si="40"/>
        <v>0</v>
      </c>
    </row>
    <row r="218" spans="1:7" ht="17.100000000000001" customHeight="1">
      <c r="A218" s="548"/>
      <c r="B218" s="741"/>
      <c r="C218" s="1515" t="s">
        <v>596</v>
      </c>
      <c r="D218" s="1516" t="s">
        <v>474</v>
      </c>
      <c r="E218" s="1467">
        <v>159536</v>
      </c>
      <c r="F218" s="1467">
        <v>247469</v>
      </c>
      <c r="G218" s="1465">
        <f t="shared" si="40"/>
        <v>1.5511796710460335</v>
      </c>
    </row>
    <row r="219" spans="1:7" ht="17.100000000000001" customHeight="1">
      <c r="A219" s="548"/>
      <c r="B219" s="741"/>
      <c r="C219" s="1515" t="s">
        <v>597</v>
      </c>
      <c r="D219" s="1516" t="s">
        <v>476</v>
      </c>
      <c r="E219" s="1467">
        <v>8000</v>
      </c>
      <c r="F219" s="1467">
        <v>20000</v>
      </c>
      <c r="G219" s="1465">
        <f t="shared" si="40"/>
        <v>2.5</v>
      </c>
    </row>
    <row r="220" spans="1:7" ht="17.100000000000001" customHeight="1">
      <c r="A220" s="548"/>
      <c r="B220" s="741"/>
      <c r="C220" s="1517" t="s">
        <v>598</v>
      </c>
      <c r="D220" s="1516" t="s">
        <v>478</v>
      </c>
      <c r="E220" s="1467">
        <v>29118</v>
      </c>
      <c r="F220" s="1467">
        <v>45978</v>
      </c>
      <c r="G220" s="1465">
        <f t="shared" si="40"/>
        <v>1.5790232845662477</v>
      </c>
    </row>
    <row r="221" spans="1:7" ht="26.25" customHeight="1">
      <c r="A221" s="548"/>
      <c r="B221" s="741"/>
      <c r="C221" s="1517" t="s">
        <v>599</v>
      </c>
      <c r="D221" s="1518" t="s">
        <v>1028</v>
      </c>
      <c r="E221" s="1467">
        <v>4104</v>
      </c>
      <c r="F221" s="1467">
        <v>6553</v>
      </c>
      <c r="G221" s="1465">
        <f t="shared" si="40"/>
        <v>1.5967348927875245</v>
      </c>
    </row>
    <row r="222" spans="1:7" ht="17.100000000000001" hidden="1" customHeight="1">
      <c r="A222" s="548"/>
      <c r="B222" s="741"/>
      <c r="C222" s="1517" t="s">
        <v>600</v>
      </c>
      <c r="D222" s="1518" t="s">
        <v>487</v>
      </c>
      <c r="E222" s="1467">
        <v>30000</v>
      </c>
      <c r="F222" s="1467">
        <v>0</v>
      </c>
      <c r="G222" s="1465">
        <f t="shared" si="40"/>
        <v>0</v>
      </c>
    </row>
    <row r="223" spans="1:7" ht="17.100000000000001" customHeight="1">
      <c r="A223" s="548"/>
      <c r="B223" s="741"/>
      <c r="C223" s="1517" t="s">
        <v>601</v>
      </c>
      <c r="D223" s="1518" t="s">
        <v>497</v>
      </c>
      <c r="E223" s="1467">
        <v>294832</v>
      </c>
      <c r="F223" s="1467">
        <v>316233</v>
      </c>
      <c r="G223" s="1465">
        <f t="shared" si="40"/>
        <v>1.0725871004504259</v>
      </c>
    </row>
    <row r="224" spans="1:7" ht="17.100000000000001" hidden="1" customHeight="1">
      <c r="A224" s="548"/>
      <c r="B224" s="741"/>
      <c r="C224" s="1517" t="s">
        <v>676</v>
      </c>
      <c r="D224" s="1518" t="s">
        <v>501</v>
      </c>
      <c r="E224" s="1467">
        <v>200000</v>
      </c>
      <c r="F224" s="1467">
        <v>0</v>
      </c>
      <c r="G224" s="1465">
        <f t="shared" si="40"/>
        <v>0</v>
      </c>
    </row>
    <row r="225" spans="1:7" ht="17.100000000000001" hidden="1" customHeight="1">
      <c r="A225" s="548"/>
      <c r="B225" s="741"/>
      <c r="C225" s="1517" t="s">
        <v>602</v>
      </c>
      <c r="D225" s="1518" t="s">
        <v>505</v>
      </c>
      <c r="E225" s="1467"/>
      <c r="F225" s="1467"/>
      <c r="G225" s="1465" t="e">
        <f t="shared" si="40"/>
        <v>#DIV/0!</v>
      </c>
    </row>
    <row r="226" spans="1:7" ht="17.100000000000001" hidden="1" customHeight="1">
      <c r="A226" s="548"/>
      <c r="B226" s="741"/>
      <c r="C226" s="1517" t="s">
        <v>603</v>
      </c>
      <c r="D226" s="1518" t="s">
        <v>519</v>
      </c>
      <c r="E226" s="1467"/>
      <c r="F226" s="1467">
        <v>0</v>
      </c>
      <c r="G226" s="1465" t="e">
        <f t="shared" si="40"/>
        <v>#DIV/0!</v>
      </c>
    </row>
    <row r="227" spans="1:7" ht="17.100000000000001" customHeight="1">
      <c r="A227" s="548"/>
      <c r="B227" s="741"/>
      <c r="C227" s="2805"/>
      <c r="D227" s="2805"/>
      <c r="E227" s="712"/>
      <c r="F227" s="712"/>
      <c r="G227" s="1519"/>
    </row>
    <row r="228" spans="1:7" ht="17.100000000000001" customHeight="1">
      <c r="A228" s="548"/>
      <c r="B228" s="741"/>
      <c r="C228" s="2806" t="s">
        <v>523</v>
      </c>
      <c r="D228" s="2806"/>
      <c r="E228" s="549">
        <f t="shared" ref="E228:F228" si="45">E229</f>
        <v>10083746</v>
      </c>
      <c r="F228" s="549">
        <f t="shared" si="45"/>
        <v>6715709</v>
      </c>
      <c r="G228" s="1424">
        <f t="shared" si="40"/>
        <v>0.66599347107711759</v>
      </c>
    </row>
    <row r="229" spans="1:7" ht="17.100000000000001" customHeight="1">
      <c r="A229" s="548"/>
      <c r="B229" s="741"/>
      <c r="C229" s="2807" t="s">
        <v>524</v>
      </c>
      <c r="D229" s="2808"/>
      <c r="E229" s="1436">
        <f>SUM(E230:E234)</f>
        <v>10083746</v>
      </c>
      <c r="F229" s="1436">
        <f>SUM(F230:F239)</f>
        <v>6715709</v>
      </c>
      <c r="G229" s="1437">
        <f t="shared" si="40"/>
        <v>0.66599347107711759</v>
      </c>
    </row>
    <row r="230" spans="1:7" ht="16.5" hidden="1" customHeight="1">
      <c r="A230" s="548"/>
      <c r="B230" s="741"/>
      <c r="C230" s="1520" t="s">
        <v>604</v>
      </c>
      <c r="D230" s="1518" t="s">
        <v>571</v>
      </c>
      <c r="E230" s="1436"/>
      <c r="F230" s="1436">
        <v>0</v>
      </c>
      <c r="G230" s="1437" t="e">
        <f t="shared" si="40"/>
        <v>#DIV/0!</v>
      </c>
    </row>
    <row r="231" spans="1:7" ht="54" hidden="1" customHeight="1">
      <c r="A231" s="548"/>
      <c r="B231" s="741"/>
      <c r="C231" s="1520" t="s">
        <v>605</v>
      </c>
      <c r="D231" s="1518" t="s">
        <v>606</v>
      </c>
      <c r="E231" s="1436"/>
      <c r="F231" s="1436"/>
      <c r="G231" s="1437" t="e">
        <f t="shared" si="40"/>
        <v>#DIV/0!</v>
      </c>
    </row>
    <row r="232" spans="1:7" ht="52.5" customHeight="1" thickBot="1">
      <c r="A232" s="548"/>
      <c r="B232" s="741"/>
      <c r="C232" s="1520" t="s">
        <v>607</v>
      </c>
      <c r="D232" s="1518" t="s">
        <v>606</v>
      </c>
      <c r="E232" s="1436">
        <v>9993032</v>
      </c>
      <c r="F232" s="1436">
        <v>6715709</v>
      </c>
      <c r="G232" s="1437">
        <f t="shared" si="40"/>
        <v>0.67203917689846282</v>
      </c>
    </row>
    <row r="233" spans="1:7" ht="56.25" hidden="1" customHeight="1">
      <c r="A233" s="548"/>
      <c r="B233" s="746"/>
      <c r="C233" s="1521" t="s">
        <v>608</v>
      </c>
      <c r="D233" s="1500" t="s">
        <v>609</v>
      </c>
      <c r="E233" s="1436"/>
      <c r="F233" s="1436">
        <v>0</v>
      </c>
      <c r="G233" s="1437" t="e">
        <f t="shared" si="40"/>
        <v>#DIV/0!</v>
      </c>
    </row>
    <row r="234" spans="1:7" ht="54.75" hidden="1" customHeight="1" thickBot="1">
      <c r="A234" s="548"/>
      <c r="B234" s="746"/>
      <c r="C234" s="1521" t="s">
        <v>722</v>
      </c>
      <c r="D234" s="1500" t="s">
        <v>533</v>
      </c>
      <c r="E234" s="1436">
        <v>90714</v>
      </c>
      <c r="F234" s="1436">
        <v>0</v>
      </c>
      <c r="G234" s="1437">
        <f t="shared" si="40"/>
        <v>0</v>
      </c>
    </row>
    <row r="235" spans="1:7" ht="17.25" hidden="1" customHeight="1">
      <c r="A235" s="548"/>
      <c r="B235" s="1522"/>
      <c r="C235" s="1523"/>
      <c r="D235" s="1524" t="s">
        <v>610</v>
      </c>
      <c r="E235" s="1436"/>
      <c r="F235" s="1436">
        <v>0</v>
      </c>
      <c r="G235" s="1437" t="e">
        <f t="shared" si="40"/>
        <v>#DIV/0!</v>
      </c>
    </row>
    <row r="236" spans="1:7" ht="18.75" hidden="1" customHeight="1">
      <c r="A236" s="548"/>
      <c r="B236" s="2771"/>
      <c r="C236" s="2810" t="s">
        <v>470</v>
      </c>
      <c r="D236" s="2810"/>
      <c r="E236" s="1436"/>
      <c r="F236" s="1436">
        <v>0</v>
      </c>
      <c r="G236" s="1437" t="e">
        <f t="shared" si="40"/>
        <v>#DIV/0!</v>
      </c>
    </row>
    <row r="237" spans="1:7" ht="12" hidden="1" customHeight="1">
      <c r="A237" s="548"/>
      <c r="B237" s="2771"/>
      <c r="C237" s="2811" t="s">
        <v>567</v>
      </c>
      <c r="D237" s="2811"/>
      <c r="E237" s="1436"/>
      <c r="F237" s="1436">
        <v>0</v>
      </c>
      <c r="G237" s="1437" t="e">
        <f t="shared" si="40"/>
        <v>#DIV/0!</v>
      </c>
    </row>
    <row r="238" spans="1:7" ht="38.25" hidden="1" customHeight="1">
      <c r="A238" s="548"/>
      <c r="B238" s="2809"/>
      <c r="C238" s="1517" t="s">
        <v>420</v>
      </c>
      <c r="D238" s="1518" t="s">
        <v>611</v>
      </c>
      <c r="E238" s="1436"/>
      <c r="F238" s="1436">
        <v>0</v>
      </c>
      <c r="G238" s="1437" t="e">
        <f t="shared" si="40"/>
        <v>#DIV/0!</v>
      </c>
    </row>
    <row r="239" spans="1:7" ht="15" hidden="1" customHeight="1">
      <c r="A239" s="548"/>
      <c r="B239" s="741"/>
      <c r="C239" s="1525" t="s">
        <v>612</v>
      </c>
      <c r="D239" s="1526" t="s">
        <v>594</v>
      </c>
      <c r="E239" s="1436"/>
      <c r="F239" s="1436">
        <v>0</v>
      </c>
      <c r="G239" s="1437" t="e">
        <f t="shared" si="40"/>
        <v>#DIV/0!</v>
      </c>
    </row>
    <row r="240" spans="1:7" ht="13.5" hidden="1" thickBot="1">
      <c r="A240" s="548"/>
      <c r="B240" s="741"/>
      <c r="C240" s="1527"/>
      <c r="D240" s="1526"/>
      <c r="E240" s="1436"/>
      <c r="F240" s="1436"/>
      <c r="G240" s="1437"/>
    </row>
    <row r="241" spans="1:7" ht="15.75" hidden="1" thickBot="1">
      <c r="A241" s="548"/>
      <c r="B241" s="741"/>
      <c r="C241" s="2799" t="s">
        <v>534</v>
      </c>
      <c r="D241" s="2800"/>
      <c r="E241" s="1436">
        <f>SUM(E242:E244)</f>
        <v>0</v>
      </c>
      <c r="F241" s="1436">
        <f t="shared" ref="F241" si="46">SUM(F242:F244)</f>
        <v>0</v>
      </c>
      <c r="G241" s="1437" t="e">
        <f t="shared" si="40"/>
        <v>#DIV/0!</v>
      </c>
    </row>
    <row r="242" spans="1:7" ht="16.5" hidden="1" customHeight="1">
      <c r="A242" s="548"/>
      <c r="B242" s="741"/>
      <c r="C242" s="1520" t="s">
        <v>604</v>
      </c>
      <c r="D242" s="1518" t="s">
        <v>571</v>
      </c>
      <c r="E242" s="718"/>
      <c r="F242" s="718">
        <v>0</v>
      </c>
      <c r="G242" s="1505" t="e">
        <f t="shared" si="40"/>
        <v>#DIV/0!</v>
      </c>
    </row>
    <row r="243" spans="1:7" ht="64.5" hidden="1" thickBot="1">
      <c r="A243" s="548"/>
      <c r="B243" s="741"/>
      <c r="C243" s="1520" t="s">
        <v>605</v>
      </c>
      <c r="D243" s="1518" t="s">
        <v>606</v>
      </c>
      <c r="E243" s="1436"/>
      <c r="F243" s="1436">
        <v>0</v>
      </c>
      <c r="G243" s="1437" t="e">
        <f t="shared" si="40"/>
        <v>#DIV/0!</v>
      </c>
    </row>
    <row r="244" spans="1:7" ht="18.75" hidden="1" customHeight="1" thickBot="1">
      <c r="A244" s="548"/>
      <c r="B244" s="741"/>
      <c r="C244" s="1525" t="s">
        <v>612</v>
      </c>
      <c r="D244" s="1526" t="s">
        <v>594</v>
      </c>
      <c r="E244" s="551"/>
      <c r="F244" s="551">
        <v>0</v>
      </c>
      <c r="G244" s="1438" t="e">
        <f t="shared" si="40"/>
        <v>#DIV/0!</v>
      </c>
    </row>
    <row r="245" spans="1:7" ht="17.100000000000001" customHeight="1" thickBot="1">
      <c r="A245" s="545" t="s">
        <v>613</v>
      </c>
      <c r="B245" s="565"/>
      <c r="C245" s="566"/>
      <c r="D245" s="567" t="s">
        <v>614</v>
      </c>
      <c r="E245" s="568">
        <f>E246</f>
        <v>244032</v>
      </c>
      <c r="F245" s="568">
        <f t="shared" ref="E245:F247" si="47">F246</f>
        <v>245232</v>
      </c>
      <c r="G245" s="1499">
        <f t="shared" si="40"/>
        <v>1.0049173878835562</v>
      </c>
    </row>
    <row r="246" spans="1:7" ht="17.100000000000001" customHeight="1" thickBot="1">
      <c r="A246" s="548"/>
      <c r="B246" s="559" t="s">
        <v>615</v>
      </c>
      <c r="C246" s="560"/>
      <c r="D246" s="561" t="s">
        <v>616</v>
      </c>
      <c r="E246" s="562">
        <f t="shared" si="47"/>
        <v>244032</v>
      </c>
      <c r="F246" s="562">
        <f t="shared" si="47"/>
        <v>245232</v>
      </c>
      <c r="G246" s="1478">
        <f t="shared" si="40"/>
        <v>1.0049173878835562</v>
      </c>
    </row>
    <row r="247" spans="1:7" ht="17.100000000000001" customHeight="1">
      <c r="A247" s="548"/>
      <c r="B247" s="2771"/>
      <c r="C247" s="2790" t="s">
        <v>470</v>
      </c>
      <c r="D247" s="2790"/>
      <c r="E247" s="549">
        <f t="shared" si="47"/>
        <v>244032</v>
      </c>
      <c r="F247" s="549">
        <f t="shared" si="47"/>
        <v>245232</v>
      </c>
      <c r="G247" s="1424">
        <f t="shared" si="40"/>
        <v>1.0049173878835562</v>
      </c>
    </row>
    <row r="248" spans="1:7" ht="17.100000000000001" customHeight="1">
      <c r="A248" s="548"/>
      <c r="B248" s="2771"/>
      <c r="C248" s="2801" t="s">
        <v>471</v>
      </c>
      <c r="D248" s="2802"/>
      <c r="E248" s="1436">
        <f>E249+E255</f>
        <v>244032</v>
      </c>
      <c r="F248" s="1436">
        <f t="shared" ref="F248" si="48">F249+F255</f>
        <v>245232</v>
      </c>
      <c r="G248" s="1437">
        <f t="shared" si="40"/>
        <v>1.0049173878835562</v>
      </c>
    </row>
    <row r="249" spans="1:7" ht="17.100000000000001" customHeight="1">
      <c r="A249" s="548"/>
      <c r="B249" s="2771"/>
      <c r="C249" s="2803" t="s">
        <v>472</v>
      </c>
      <c r="D249" s="2804"/>
      <c r="E249" s="1461">
        <f>SUM(E250:E253)</f>
        <v>240032</v>
      </c>
      <c r="F249" s="1461">
        <f t="shared" ref="F249" si="49">SUM(F250:F253)</f>
        <v>241232</v>
      </c>
      <c r="G249" s="1462">
        <f t="shared" si="40"/>
        <v>1.0049993334222103</v>
      </c>
    </row>
    <row r="250" spans="1:7" ht="17.100000000000001" customHeight="1">
      <c r="A250" s="548"/>
      <c r="B250" s="2771"/>
      <c r="C250" s="1515" t="s">
        <v>473</v>
      </c>
      <c r="D250" s="1516" t="s">
        <v>474</v>
      </c>
      <c r="E250" s="1436">
        <v>184018</v>
      </c>
      <c r="F250" s="1436">
        <v>185022</v>
      </c>
      <c r="G250" s="1437">
        <f t="shared" si="40"/>
        <v>1.0054559880011738</v>
      </c>
    </row>
    <row r="251" spans="1:7" ht="17.100000000000001" customHeight="1">
      <c r="A251" s="548"/>
      <c r="B251" s="2771"/>
      <c r="C251" s="1515" t="s">
        <v>475</v>
      </c>
      <c r="D251" s="1518" t="s">
        <v>476</v>
      </c>
      <c r="E251" s="1436">
        <v>15514</v>
      </c>
      <c r="F251" s="1436">
        <v>15514</v>
      </c>
      <c r="G251" s="1437">
        <f t="shared" si="40"/>
        <v>1</v>
      </c>
    </row>
    <row r="252" spans="1:7" ht="17.100000000000001" customHeight="1">
      <c r="A252" s="548"/>
      <c r="B252" s="2771"/>
      <c r="C252" s="1515" t="s">
        <v>477</v>
      </c>
      <c r="D252" s="1516" t="s">
        <v>478</v>
      </c>
      <c r="E252" s="1436">
        <v>36000</v>
      </c>
      <c r="F252" s="1436">
        <v>36172</v>
      </c>
      <c r="G252" s="1437">
        <f t="shared" si="40"/>
        <v>1.0047777777777778</v>
      </c>
    </row>
    <row r="253" spans="1:7" ht="26.25" customHeight="1">
      <c r="A253" s="548"/>
      <c r="B253" s="2771"/>
      <c r="C253" s="1515" t="s">
        <v>479</v>
      </c>
      <c r="D253" s="1518" t="s">
        <v>1028</v>
      </c>
      <c r="E253" s="1436">
        <v>4500</v>
      </c>
      <c r="F253" s="1436">
        <v>4524</v>
      </c>
      <c r="G253" s="1437">
        <f t="shared" si="40"/>
        <v>1.0053333333333334</v>
      </c>
    </row>
    <row r="254" spans="1:7" ht="14.25" customHeight="1">
      <c r="A254" s="548"/>
      <c r="B254" s="741"/>
      <c r="C254" s="1515"/>
      <c r="D254" s="1516"/>
      <c r="E254" s="1436"/>
      <c r="F254" s="1436"/>
      <c r="G254" s="1437"/>
    </row>
    <row r="255" spans="1:7" ht="14.25" customHeight="1">
      <c r="A255" s="548"/>
      <c r="B255" s="741"/>
      <c r="C255" s="2799" t="s">
        <v>483</v>
      </c>
      <c r="D255" s="2799"/>
      <c r="E255" s="1461">
        <f>SUM(E256:E256)</f>
        <v>4000</v>
      </c>
      <c r="F255" s="1461">
        <f t="shared" ref="F255" si="50">SUM(F256:F256)</f>
        <v>4000</v>
      </c>
      <c r="G255" s="1462">
        <f t="shared" si="40"/>
        <v>1</v>
      </c>
    </row>
    <row r="256" spans="1:7" ht="17.25" customHeight="1" thickBot="1">
      <c r="A256" s="572"/>
      <c r="B256" s="573"/>
      <c r="C256" s="1517" t="s">
        <v>496</v>
      </c>
      <c r="D256" s="1518" t="s">
        <v>497</v>
      </c>
      <c r="E256" s="1436">
        <v>4000</v>
      </c>
      <c r="F256" s="1436">
        <v>4000</v>
      </c>
      <c r="G256" s="1437">
        <f t="shared" si="40"/>
        <v>1</v>
      </c>
    </row>
    <row r="257" spans="1:7" ht="17.100000000000001" customHeight="1" thickBot="1">
      <c r="A257" s="545" t="s">
        <v>7</v>
      </c>
      <c r="B257" s="565"/>
      <c r="C257" s="566"/>
      <c r="D257" s="567" t="s">
        <v>617</v>
      </c>
      <c r="E257" s="568">
        <f>SUM(E258,E280,E301,E310,E315,E382,E405,E390,E398,E394)</f>
        <v>666436101</v>
      </c>
      <c r="F257" s="568">
        <f>SUM(F258,F280,F301,F310,F315,F382,F405,F390,F398,F394)</f>
        <v>662147220</v>
      </c>
      <c r="G257" s="1499">
        <f t="shared" si="40"/>
        <v>0.99356445277564576</v>
      </c>
    </row>
    <row r="258" spans="1:7" ht="17.100000000000001" customHeight="1" thickBot="1">
      <c r="A258" s="548"/>
      <c r="B258" s="559" t="s">
        <v>112</v>
      </c>
      <c r="C258" s="560"/>
      <c r="D258" s="561" t="s">
        <v>257</v>
      </c>
      <c r="E258" s="562">
        <f>E259+E270</f>
        <v>84483387</v>
      </c>
      <c r="F258" s="562">
        <f>F259+F270</f>
        <v>288927281</v>
      </c>
      <c r="G258" s="1478">
        <f t="shared" si="40"/>
        <v>3.4199301337196624</v>
      </c>
    </row>
    <row r="259" spans="1:7" ht="17.100000000000001" customHeight="1">
      <c r="A259" s="548"/>
      <c r="B259" s="2812"/>
      <c r="C259" s="2790" t="s">
        <v>470</v>
      </c>
      <c r="D259" s="2790"/>
      <c r="E259" s="549">
        <f>E260+E266</f>
        <v>73235293</v>
      </c>
      <c r="F259" s="549">
        <f>F260+F266</f>
        <v>86334669</v>
      </c>
      <c r="G259" s="1424">
        <f t="shared" si="40"/>
        <v>1.1788669842558013</v>
      </c>
    </row>
    <row r="260" spans="1:7" ht="17.100000000000001" customHeight="1">
      <c r="A260" s="548"/>
      <c r="B260" s="2812"/>
      <c r="C260" s="2811" t="s">
        <v>471</v>
      </c>
      <c r="D260" s="2811"/>
      <c r="E260" s="1436">
        <f>E261</f>
        <v>5996339</v>
      </c>
      <c r="F260" s="1436">
        <f t="shared" ref="F260" si="51">F261</f>
        <v>7418379</v>
      </c>
      <c r="G260" s="1437">
        <f t="shared" si="40"/>
        <v>1.2371513685266959</v>
      </c>
    </row>
    <row r="261" spans="1:7" ht="17.100000000000001" customHeight="1">
      <c r="A261" s="548"/>
      <c r="B261" s="2812"/>
      <c r="C261" s="2799" t="s">
        <v>483</v>
      </c>
      <c r="D261" s="2799"/>
      <c r="E261" s="1461">
        <f>SUM(E262:E264)</f>
        <v>5996339</v>
      </c>
      <c r="F261" s="1461">
        <f>SUM(F262:F264)</f>
        <v>7418379</v>
      </c>
      <c r="G261" s="1462">
        <f t="shared" si="40"/>
        <v>1.2371513685266959</v>
      </c>
    </row>
    <row r="262" spans="1:7" ht="17.100000000000001" customHeight="1">
      <c r="A262" s="548"/>
      <c r="B262" s="2812"/>
      <c r="C262" s="1517" t="s">
        <v>492</v>
      </c>
      <c r="D262" s="1518" t="s">
        <v>493</v>
      </c>
      <c r="E262" s="1436">
        <v>5946339</v>
      </c>
      <c r="F262" s="1436">
        <v>7417379</v>
      </c>
      <c r="G262" s="1437">
        <f t="shared" si="40"/>
        <v>1.2473858284904376</v>
      </c>
    </row>
    <row r="263" spans="1:7" ht="17.100000000000001" hidden="1" customHeight="1">
      <c r="A263" s="548"/>
      <c r="B263" s="2812"/>
      <c r="C263" s="1517" t="s">
        <v>500</v>
      </c>
      <c r="D263" s="1518" t="s">
        <v>501</v>
      </c>
      <c r="E263" s="1436">
        <v>50000</v>
      </c>
      <c r="F263" s="1436">
        <v>0</v>
      </c>
      <c r="G263" s="1437">
        <f t="shared" si="40"/>
        <v>0</v>
      </c>
    </row>
    <row r="264" spans="1:7" ht="17.100000000000001" customHeight="1">
      <c r="A264" s="548"/>
      <c r="B264" s="2812"/>
      <c r="C264" s="1528" t="s">
        <v>580</v>
      </c>
      <c r="D264" s="1529" t="s">
        <v>581</v>
      </c>
      <c r="E264" s="564">
        <v>0</v>
      </c>
      <c r="F264" s="564">
        <v>1000</v>
      </c>
      <c r="G264" s="1437"/>
    </row>
    <row r="265" spans="1:7" ht="17.100000000000001" customHeight="1">
      <c r="A265" s="548"/>
      <c r="B265" s="2812"/>
      <c r="C265" s="713"/>
      <c r="D265" s="1530"/>
      <c r="E265" s="574"/>
      <c r="F265" s="574"/>
      <c r="G265" s="1510"/>
    </row>
    <row r="266" spans="1:7" ht="17.100000000000001" customHeight="1">
      <c r="A266" s="548"/>
      <c r="B266" s="2812"/>
      <c r="C266" s="2794" t="s">
        <v>567</v>
      </c>
      <c r="D266" s="2794"/>
      <c r="E266" s="564">
        <f>E267+E268</f>
        <v>67238954</v>
      </c>
      <c r="F266" s="564">
        <f t="shared" ref="F266" si="52">F267+F268</f>
        <v>78916290</v>
      </c>
      <c r="G266" s="1497">
        <f t="shared" si="40"/>
        <v>1.1736692096667656</v>
      </c>
    </row>
    <row r="267" spans="1:7" ht="29.25" hidden="1" customHeight="1">
      <c r="A267" s="548"/>
      <c r="B267" s="2812"/>
      <c r="C267" s="1531" t="s">
        <v>277</v>
      </c>
      <c r="D267" s="1532" t="s">
        <v>620</v>
      </c>
      <c r="E267" s="1533">
        <v>50000</v>
      </c>
      <c r="F267" s="1533">
        <v>0</v>
      </c>
      <c r="G267" s="1534">
        <f t="shared" si="40"/>
        <v>0</v>
      </c>
    </row>
    <row r="268" spans="1:7" ht="40.5" customHeight="1">
      <c r="A268" s="548"/>
      <c r="B268" s="2812"/>
      <c r="C268" s="1517" t="s">
        <v>621</v>
      </c>
      <c r="D268" s="1518" t="s">
        <v>622</v>
      </c>
      <c r="E268" s="1436">
        <v>67188954</v>
      </c>
      <c r="F268" s="1436">
        <v>78916290</v>
      </c>
      <c r="G268" s="1437">
        <f t="shared" si="40"/>
        <v>1.174542619014429</v>
      </c>
    </row>
    <row r="269" spans="1:7" ht="17.100000000000001" customHeight="1">
      <c r="A269" s="548"/>
      <c r="B269" s="2812"/>
      <c r="C269" s="553"/>
      <c r="D269" s="553"/>
      <c r="E269" s="550"/>
      <c r="F269" s="550"/>
      <c r="G269" s="1433"/>
    </row>
    <row r="270" spans="1:7" ht="17.100000000000001" customHeight="1">
      <c r="A270" s="548"/>
      <c r="B270" s="2812"/>
      <c r="C270" s="2814" t="s">
        <v>523</v>
      </c>
      <c r="D270" s="2814"/>
      <c r="E270" s="1484">
        <f>E271</f>
        <v>11248094</v>
      </c>
      <c r="F270" s="1484">
        <f t="shared" ref="F270" si="53">F271</f>
        <v>202592612</v>
      </c>
      <c r="G270" s="1485">
        <f t="shared" si="40"/>
        <v>18.011283689485527</v>
      </c>
    </row>
    <row r="271" spans="1:7" ht="17.100000000000001" customHeight="1">
      <c r="A271" s="548"/>
      <c r="B271" s="2812"/>
      <c r="C271" s="2808" t="s">
        <v>524</v>
      </c>
      <c r="D271" s="2808"/>
      <c r="E271" s="1436">
        <f>SUM(E272:E274)</f>
        <v>11248094</v>
      </c>
      <c r="F271" s="1436">
        <f t="shared" ref="F271" si="54">SUM(F272:F274)</f>
        <v>202592612</v>
      </c>
      <c r="G271" s="1437">
        <f t="shared" si="40"/>
        <v>18.011283689485527</v>
      </c>
    </row>
    <row r="272" spans="1:7" ht="17.100000000000001" customHeight="1">
      <c r="A272" s="548"/>
      <c r="B272" s="2812"/>
      <c r="C272" s="1517" t="s">
        <v>525</v>
      </c>
      <c r="D272" s="1518" t="s">
        <v>571</v>
      </c>
      <c r="E272" s="1436">
        <v>11248094</v>
      </c>
      <c r="F272" s="1436">
        <v>52218536</v>
      </c>
      <c r="G272" s="1437">
        <f t="shared" si="40"/>
        <v>4.6424341759590559</v>
      </c>
    </row>
    <row r="273" spans="1:7" ht="17.100000000000001" customHeight="1">
      <c r="A273" s="548"/>
      <c r="B273" s="2812"/>
      <c r="C273" s="1517" t="s">
        <v>604</v>
      </c>
      <c r="D273" s="1518" t="s">
        <v>571</v>
      </c>
      <c r="E273" s="1436">
        <v>0</v>
      </c>
      <c r="F273" s="1436">
        <v>75187038</v>
      </c>
      <c r="G273" s="1437"/>
    </row>
    <row r="274" spans="1:7" ht="17.100000000000001" customHeight="1">
      <c r="A274" s="548"/>
      <c r="B274" s="2812"/>
      <c r="C274" s="1517" t="s">
        <v>623</v>
      </c>
      <c r="D274" s="1518" t="s">
        <v>571</v>
      </c>
      <c r="E274" s="1436">
        <v>0</v>
      </c>
      <c r="F274" s="1436">
        <v>75187038</v>
      </c>
      <c r="G274" s="1437"/>
    </row>
    <row r="275" spans="1:7" ht="17.100000000000001" customHeight="1">
      <c r="A275" s="548"/>
      <c r="B275" s="2812"/>
      <c r="C275" s="553"/>
      <c r="D275" s="749"/>
      <c r="E275" s="557"/>
      <c r="F275" s="557"/>
      <c r="G275" s="1460"/>
    </row>
    <row r="276" spans="1:7" ht="17.100000000000001" customHeight="1">
      <c r="A276" s="548"/>
      <c r="B276" s="2812"/>
      <c r="C276" s="2799" t="s">
        <v>534</v>
      </c>
      <c r="D276" s="2800"/>
      <c r="E276" s="1436">
        <f>SUM(E277:E279)</f>
        <v>0</v>
      </c>
      <c r="F276" s="1436">
        <f t="shared" ref="F276" si="55">SUM(F277:F279)</f>
        <v>195766802</v>
      </c>
      <c r="G276" s="1437"/>
    </row>
    <row r="277" spans="1:7" ht="17.100000000000001" customHeight="1">
      <c r="A277" s="548"/>
      <c r="B277" s="2812"/>
      <c r="C277" s="1517" t="s">
        <v>525</v>
      </c>
      <c r="D277" s="1518" t="s">
        <v>571</v>
      </c>
      <c r="E277" s="1436">
        <v>0</v>
      </c>
      <c r="F277" s="1436">
        <v>45392726</v>
      </c>
      <c r="G277" s="1437"/>
    </row>
    <row r="278" spans="1:7" ht="17.100000000000001" customHeight="1">
      <c r="A278" s="548"/>
      <c r="B278" s="2813"/>
      <c r="C278" s="1517" t="s">
        <v>604</v>
      </c>
      <c r="D278" s="1518" t="s">
        <v>571</v>
      </c>
      <c r="E278" s="1436">
        <v>0</v>
      </c>
      <c r="F278" s="1436">
        <v>75187038</v>
      </c>
      <c r="G278" s="1437"/>
    </row>
    <row r="279" spans="1:7" ht="17.100000000000001" customHeight="1" thickBot="1">
      <c r="A279" s="548"/>
      <c r="B279" s="2813"/>
      <c r="C279" s="1511" t="s">
        <v>623</v>
      </c>
      <c r="D279" s="1512" t="s">
        <v>571</v>
      </c>
      <c r="E279" s="1436"/>
      <c r="F279" s="1436">
        <v>75187038</v>
      </c>
      <c r="G279" s="1437"/>
    </row>
    <row r="280" spans="1:7" ht="17.100000000000001" customHeight="1" thickBot="1">
      <c r="A280" s="548"/>
      <c r="B280" s="559" t="s">
        <v>624</v>
      </c>
      <c r="C280" s="653"/>
      <c r="D280" s="1535" t="s">
        <v>264</v>
      </c>
      <c r="E280" s="632">
        <f>E281+E285</f>
        <v>6275899</v>
      </c>
      <c r="F280" s="632">
        <f t="shared" ref="F280" si="56">F281+F285</f>
        <v>8900286</v>
      </c>
      <c r="G280" s="1478">
        <f t="shared" ref="G280:G343" si="57">F280/E280</f>
        <v>1.4181690941807699</v>
      </c>
    </row>
    <row r="281" spans="1:7" ht="17.100000000000001" hidden="1" customHeight="1">
      <c r="A281" s="548"/>
      <c r="B281" s="575"/>
      <c r="C281" s="2790" t="s">
        <v>470</v>
      </c>
      <c r="D281" s="2790"/>
      <c r="E281" s="549">
        <f>E282</f>
        <v>0</v>
      </c>
      <c r="F281" s="549">
        <f t="shared" ref="F281:F283" si="58">F282</f>
        <v>0</v>
      </c>
      <c r="G281" s="1424" t="e">
        <f t="shared" si="57"/>
        <v>#DIV/0!</v>
      </c>
    </row>
    <row r="282" spans="1:7" ht="17.100000000000001" hidden="1" customHeight="1">
      <c r="A282" s="548"/>
      <c r="B282" s="575"/>
      <c r="C282" s="2811" t="s">
        <v>471</v>
      </c>
      <c r="D282" s="2811"/>
      <c r="E282" s="1436">
        <f>E283</f>
        <v>0</v>
      </c>
      <c r="F282" s="1436">
        <f t="shared" si="58"/>
        <v>0</v>
      </c>
      <c r="G282" s="1437" t="e">
        <f t="shared" si="57"/>
        <v>#DIV/0!</v>
      </c>
    </row>
    <row r="283" spans="1:7" ht="17.100000000000001" hidden="1" customHeight="1">
      <c r="A283" s="548"/>
      <c r="B283" s="575"/>
      <c r="C283" s="2799" t="s">
        <v>483</v>
      </c>
      <c r="D283" s="2799"/>
      <c r="E283" s="1461">
        <f>E284</f>
        <v>0</v>
      </c>
      <c r="F283" s="1461">
        <f t="shared" si="58"/>
        <v>0</v>
      </c>
      <c r="G283" s="1462" t="e">
        <f t="shared" si="57"/>
        <v>#DIV/0!</v>
      </c>
    </row>
    <row r="284" spans="1:7" ht="17.100000000000001" hidden="1" customHeight="1">
      <c r="A284" s="548"/>
      <c r="B284" s="575"/>
      <c r="C284" s="1517" t="s">
        <v>500</v>
      </c>
      <c r="D284" s="1518" t="s">
        <v>501</v>
      </c>
      <c r="E284" s="1436"/>
      <c r="F284" s="1436">
        <v>0</v>
      </c>
      <c r="G284" s="1437" t="e">
        <f t="shared" si="57"/>
        <v>#DIV/0!</v>
      </c>
    </row>
    <row r="285" spans="1:7" ht="17.100000000000001" customHeight="1">
      <c r="A285" s="548"/>
      <c r="B285" s="743"/>
      <c r="C285" s="2806" t="s">
        <v>523</v>
      </c>
      <c r="D285" s="2806"/>
      <c r="E285" s="549">
        <f>E286</f>
        <v>6275899</v>
      </c>
      <c r="F285" s="549">
        <f t="shared" ref="F285" si="59">F286</f>
        <v>8900286</v>
      </c>
      <c r="G285" s="1424">
        <f t="shared" si="57"/>
        <v>1.4181690941807699</v>
      </c>
    </row>
    <row r="286" spans="1:7" ht="17.100000000000001" customHeight="1">
      <c r="A286" s="548"/>
      <c r="B286" s="743"/>
      <c r="C286" s="2808" t="s">
        <v>524</v>
      </c>
      <c r="D286" s="2808"/>
      <c r="E286" s="1436">
        <f>SUM(E287:E292)</f>
        <v>6275899</v>
      </c>
      <c r="F286" s="1436">
        <f t="shared" ref="F286" si="60">SUM(F287:F292)</f>
        <v>8900286</v>
      </c>
      <c r="G286" s="1437">
        <f t="shared" si="57"/>
        <v>1.4181690941807699</v>
      </c>
    </row>
    <row r="287" spans="1:7" ht="17.100000000000001" customHeight="1">
      <c r="A287" s="548"/>
      <c r="B287" s="743"/>
      <c r="C287" s="1525" t="s">
        <v>531</v>
      </c>
      <c r="D287" s="1526" t="s">
        <v>526</v>
      </c>
      <c r="E287" s="1436">
        <v>665131</v>
      </c>
      <c r="F287" s="1436">
        <v>943802</v>
      </c>
      <c r="G287" s="1437">
        <f t="shared" si="57"/>
        <v>1.4189716010830948</v>
      </c>
    </row>
    <row r="288" spans="1:7" ht="17.100000000000001" customHeight="1">
      <c r="A288" s="548"/>
      <c r="B288" s="743"/>
      <c r="C288" s="1525" t="s">
        <v>625</v>
      </c>
      <c r="D288" s="1526" t="s">
        <v>526</v>
      </c>
      <c r="E288" s="1436">
        <v>1445711</v>
      </c>
      <c r="F288" s="1436">
        <v>2051514</v>
      </c>
      <c r="G288" s="1437">
        <f t="shared" si="57"/>
        <v>1.4190346480036466</v>
      </c>
    </row>
    <row r="289" spans="1:7" ht="17.100000000000001" customHeight="1">
      <c r="A289" s="548"/>
      <c r="B289" s="743"/>
      <c r="C289" s="1525" t="s">
        <v>626</v>
      </c>
      <c r="D289" s="1526" t="s">
        <v>526</v>
      </c>
      <c r="E289" s="1436">
        <v>1445711</v>
      </c>
      <c r="F289" s="1436">
        <v>2051514</v>
      </c>
      <c r="G289" s="1437">
        <f t="shared" si="57"/>
        <v>1.4190346480036466</v>
      </c>
    </row>
    <row r="290" spans="1:7" ht="17.100000000000001" customHeight="1">
      <c r="A290" s="548"/>
      <c r="B290" s="743"/>
      <c r="C290" s="1517" t="s">
        <v>525</v>
      </c>
      <c r="D290" s="1518" t="s">
        <v>571</v>
      </c>
      <c r="E290" s="1436">
        <v>508496</v>
      </c>
      <c r="F290" s="1436">
        <v>720566</v>
      </c>
      <c r="G290" s="1437">
        <f t="shared" si="57"/>
        <v>1.417053428148894</v>
      </c>
    </row>
    <row r="291" spans="1:7" ht="17.100000000000001" customHeight="1">
      <c r="A291" s="548"/>
      <c r="B291" s="743"/>
      <c r="C291" s="1517" t="s">
        <v>604</v>
      </c>
      <c r="D291" s="1518" t="s">
        <v>571</v>
      </c>
      <c r="E291" s="1436">
        <v>1105425</v>
      </c>
      <c r="F291" s="1436">
        <v>1566445</v>
      </c>
      <c r="G291" s="1437">
        <f t="shared" si="57"/>
        <v>1.4170522649659634</v>
      </c>
    </row>
    <row r="292" spans="1:7" ht="17.100000000000001" customHeight="1">
      <c r="A292" s="548"/>
      <c r="B292" s="743"/>
      <c r="C292" s="1517" t="s">
        <v>623</v>
      </c>
      <c r="D292" s="1518" t="s">
        <v>571</v>
      </c>
      <c r="E292" s="1436">
        <v>1105425</v>
      </c>
      <c r="F292" s="1436">
        <v>1566445</v>
      </c>
      <c r="G292" s="1437">
        <f t="shared" si="57"/>
        <v>1.4170522649659634</v>
      </c>
    </row>
    <row r="293" spans="1:7" ht="17.100000000000001" customHeight="1">
      <c r="A293" s="548"/>
      <c r="B293" s="743"/>
      <c r="C293" s="553"/>
      <c r="D293" s="749"/>
      <c r="E293" s="557"/>
      <c r="F293" s="557"/>
      <c r="G293" s="1460"/>
    </row>
    <row r="294" spans="1:7" ht="17.100000000000001" customHeight="1">
      <c r="A294" s="548"/>
      <c r="B294" s="743"/>
      <c r="C294" s="2799" t="s">
        <v>534</v>
      </c>
      <c r="D294" s="2800"/>
      <c r="E294" s="1436">
        <f>SUM(E295:E300)</f>
        <v>6275899</v>
      </c>
      <c r="F294" s="1436">
        <f t="shared" ref="F294" si="61">SUM(F295:F300)</f>
        <v>8900286</v>
      </c>
      <c r="G294" s="1437">
        <f t="shared" si="57"/>
        <v>1.4181690941807699</v>
      </c>
    </row>
    <row r="295" spans="1:7" ht="17.100000000000001" customHeight="1">
      <c r="A295" s="548"/>
      <c r="B295" s="743"/>
      <c r="C295" s="1525" t="s">
        <v>531</v>
      </c>
      <c r="D295" s="1526" t="s">
        <v>526</v>
      </c>
      <c r="E295" s="1436">
        <v>665131</v>
      </c>
      <c r="F295" s="1436">
        <v>943802</v>
      </c>
      <c r="G295" s="1437">
        <f t="shared" si="57"/>
        <v>1.4189716010830948</v>
      </c>
    </row>
    <row r="296" spans="1:7" ht="17.100000000000001" customHeight="1">
      <c r="A296" s="548"/>
      <c r="B296" s="743"/>
      <c r="C296" s="1525" t="s">
        <v>625</v>
      </c>
      <c r="D296" s="1526" t="s">
        <v>526</v>
      </c>
      <c r="E296" s="1436">
        <v>1445711</v>
      </c>
      <c r="F296" s="1436">
        <v>2051514</v>
      </c>
      <c r="G296" s="1437">
        <f t="shared" si="57"/>
        <v>1.4190346480036466</v>
      </c>
    </row>
    <row r="297" spans="1:7" ht="17.100000000000001" customHeight="1">
      <c r="A297" s="548"/>
      <c r="B297" s="743"/>
      <c r="C297" s="1525" t="s">
        <v>626</v>
      </c>
      <c r="D297" s="1526" t="s">
        <v>526</v>
      </c>
      <c r="E297" s="1436">
        <v>1445711</v>
      </c>
      <c r="F297" s="1436">
        <v>2051514</v>
      </c>
      <c r="G297" s="1437">
        <f t="shared" si="57"/>
        <v>1.4190346480036466</v>
      </c>
    </row>
    <row r="298" spans="1:7" ht="17.100000000000001" customHeight="1">
      <c r="A298" s="548"/>
      <c r="B298" s="743"/>
      <c r="C298" s="1517" t="s">
        <v>525</v>
      </c>
      <c r="D298" s="1518" t="s">
        <v>571</v>
      </c>
      <c r="E298" s="1436">
        <v>508496</v>
      </c>
      <c r="F298" s="1436">
        <v>720566</v>
      </c>
      <c r="G298" s="1437">
        <f t="shared" si="57"/>
        <v>1.417053428148894</v>
      </c>
    </row>
    <row r="299" spans="1:7" ht="16.5" customHeight="1">
      <c r="A299" s="548"/>
      <c r="B299" s="743"/>
      <c r="C299" s="1517" t="s">
        <v>604</v>
      </c>
      <c r="D299" s="1518" t="s">
        <v>571</v>
      </c>
      <c r="E299" s="1436">
        <v>1105425</v>
      </c>
      <c r="F299" s="1436">
        <v>1566445</v>
      </c>
      <c r="G299" s="1437">
        <f t="shared" si="57"/>
        <v>1.4170522649659634</v>
      </c>
    </row>
    <row r="300" spans="1:7" ht="15.75" customHeight="1" thickBot="1">
      <c r="A300" s="548"/>
      <c r="B300" s="743"/>
      <c r="C300" s="1514" t="s">
        <v>623</v>
      </c>
      <c r="D300" s="1513" t="s">
        <v>571</v>
      </c>
      <c r="E300" s="1436">
        <v>1105425</v>
      </c>
      <c r="F300" s="1436">
        <v>1566445</v>
      </c>
      <c r="G300" s="1437">
        <f t="shared" si="57"/>
        <v>1.4170522649659634</v>
      </c>
    </row>
    <row r="301" spans="1:7" ht="17.100000000000001" customHeight="1" thickBot="1">
      <c r="A301" s="548"/>
      <c r="B301" s="559" t="s">
        <v>8</v>
      </c>
      <c r="C301" s="560"/>
      <c r="D301" s="561" t="s">
        <v>266</v>
      </c>
      <c r="E301" s="576">
        <f>E302</f>
        <v>54930003</v>
      </c>
      <c r="F301" s="576">
        <f t="shared" ref="F301" si="62">F302</f>
        <v>55000000</v>
      </c>
      <c r="G301" s="1536">
        <f t="shared" si="57"/>
        <v>1.0012742944871129</v>
      </c>
    </row>
    <row r="302" spans="1:7" ht="17.100000000000001" customHeight="1">
      <c r="A302" s="548"/>
      <c r="B302" s="2771"/>
      <c r="C302" s="2815" t="s">
        <v>470</v>
      </c>
      <c r="D302" s="2790"/>
      <c r="E302" s="549">
        <f>E303+E307</f>
        <v>54930003</v>
      </c>
      <c r="F302" s="549">
        <f>F303+F307</f>
        <v>55000000</v>
      </c>
      <c r="G302" s="1424">
        <f t="shared" si="57"/>
        <v>1.0012742944871129</v>
      </c>
    </row>
    <row r="303" spans="1:7" ht="17.100000000000001" hidden="1" customHeight="1">
      <c r="A303" s="548"/>
      <c r="B303" s="2771"/>
      <c r="C303" s="2811" t="s">
        <v>471</v>
      </c>
      <c r="D303" s="2811"/>
      <c r="E303" s="549">
        <f>E304</f>
        <v>1925</v>
      </c>
      <c r="F303" s="549">
        <f>F304</f>
        <v>0</v>
      </c>
      <c r="G303" s="1537">
        <f t="shared" si="57"/>
        <v>0</v>
      </c>
    </row>
    <row r="304" spans="1:7" ht="17.100000000000001" hidden="1" customHeight="1">
      <c r="A304" s="548"/>
      <c r="B304" s="2771"/>
      <c r="C304" s="2799" t="s">
        <v>483</v>
      </c>
      <c r="D304" s="2799"/>
      <c r="E304" s="1436">
        <f>E305</f>
        <v>1925</v>
      </c>
      <c r="F304" s="1436">
        <f>F305</f>
        <v>0</v>
      </c>
      <c r="G304" s="1537">
        <f t="shared" si="57"/>
        <v>0</v>
      </c>
    </row>
    <row r="305" spans="1:7" ht="41.25" hidden="1" customHeight="1">
      <c r="A305" s="548"/>
      <c r="B305" s="2771"/>
      <c r="C305" s="1528" t="s">
        <v>1029</v>
      </c>
      <c r="D305" s="1538" t="s">
        <v>1030</v>
      </c>
      <c r="E305" s="564">
        <v>1925</v>
      </c>
      <c r="F305" s="564">
        <v>0</v>
      </c>
      <c r="G305" s="1537">
        <f t="shared" si="57"/>
        <v>0</v>
      </c>
    </row>
    <row r="306" spans="1:7" ht="17.100000000000001" hidden="1" customHeight="1">
      <c r="A306" s="548"/>
      <c r="B306" s="2771"/>
      <c r="C306" s="744"/>
      <c r="D306" s="1539"/>
      <c r="E306" s="635"/>
      <c r="F306" s="635"/>
      <c r="G306" s="1537"/>
    </row>
    <row r="307" spans="1:7" ht="17.100000000000001" customHeight="1">
      <c r="A307" s="548"/>
      <c r="B307" s="2771"/>
      <c r="C307" s="2811" t="s">
        <v>567</v>
      </c>
      <c r="D307" s="2811"/>
      <c r="E307" s="1540">
        <f>E308+E309</f>
        <v>54928078</v>
      </c>
      <c r="F307" s="1540">
        <f>F308+F309</f>
        <v>55000000</v>
      </c>
      <c r="G307" s="1537">
        <f t="shared" si="57"/>
        <v>1.0013093849742931</v>
      </c>
    </row>
    <row r="308" spans="1:7" ht="26.25" thickBot="1">
      <c r="A308" s="548"/>
      <c r="B308" s="2771"/>
      <c r="C308" s="1514" t="s">
        <v>9</v>
      </c>
      <c r="D308" s="1513" t="s">
        <v>627</v>
      </c>
      <c r="E308" s="551">
        <v>54920000</v>
      </c>
      <c r="F308" s="551">
        <v>55000000</v>
      </c>
      <c r="G308" s="1438">
        <f t="shared" si="57"/>
        <v>1.0014566642388929</v>
      </c>
    </row>
    <row r="309" spans="1:7" ht="39" hidden="1" customHeight="1" thickBot="1">
      <c r="A309" s="548"/>
      <c r="B309" s="741"/>
      <c r="C309" s="586" t="s">
        <v>434</v>
      </c>
      <c r="D309" s="1541" t="s">
        <v>433</v>
      </c>
      <c r="E309" s="552">
        <v>8078</v>
      </c>
      <c r="F309" s="552">
        <v>0</v>
      </c>
      <c r="G309" s="1445">
        <f t="shared" si="57"/>
        <v>0</v>
      </c>
    </row>
    <row r="310" spans="1:7" ht="17.100000000000001" customHeight="1" thickBot="1">
      <c r="A310" s="548"/>
      <c r="B310" s="559" t="s">
        <v>628</v>
      </c>
      <c r="C310" s="560"/>
      <c r="D310" s="561" t="s">
        <v>267</v>
      </c>
      <c r="E310" s="562">
        <f t="shared" ref="E310:F313" si="63">E311</f>
        <v>252000</v>
      </c>
      <c r="F310" s="562">
        <f t="shared" si="63"/>
        <v>254040</v>
      </c>
      <c r="G310" s="1478">
        <f t="shared" si="57"/>
        <v>1.0080952380952382</v>
      </c>
    </row>
    <row r="311" spans="1:7" ht="17.100000000000001" customHeight="1">
      <c r="A311" s="548"/>
      <c r="B311" s="2771"/>
      <c r="C311" s="2790" t="s">
        <v>470</v>
      </c>
      <c r="D311" s="2790"/>
      <c r="E311" s="549">
        <f t="shared" si="63"/>
        <v>252000</v>
      </c>
      <c r="F311" s="549">
        <f t="shared" si="63"/>
        <v>254040</v>
      </c>
      <c r="G311" s="1424">
        <f t="shared" si="57"/>
        <v>1.0080952380952382</v>
      </c>
    </row>
    <row r="312" spans="1:7" ht="17.100000000000001" customHeight="1">
      <c r="A312" s="548"/>
      <c r="B312" s="2771"/>
      <c r="C312" s="2811" t="s">
        <v>471</v>
      </c>
      <c r="D312" s="2811"/>
      <c r="E312" s="1436">
        <f t="shared" si="63"/>
        <v>252000</v>
      </c>
      <c r="F312" s="1436">
        <f t="shared" si="63"/>
        <v>254040</v>
      </c>
      <c r="G312" s="1437">
        <f t="shared" si="57"/>
        <v>1.0080952380952382</v>
      </c>
    </row>
    <row r="313" spans="1:7" ht="17.100000000000001" customHeight="1">
      <c r="A313" s="548"/>
      <c r="B313" s="2771"/>
      <c r="C313" s="2799" t="s">
        <v>483</v>
      </c>
      <c r="D313" s="2799"/>
      <c r="E313" s="1461">
        <f t="shared" si="63"/>
        <v>252000</v>
      </c>
      <c r="F313" s="1461">
        <f t="shared" si="63"/>
        <v>254040</v>
      </c>
      <c r="G313" s="1462">
        <f t="shared" si="57"/>
        <v>1.0080952380952382</v>
      </c>
    </row>
    <row r="314" spans="1:7" ht="17.100000000000001" customHeight="1" thickBot="1">
      <c r="A314" s="548"/>
      <c r="B314" s="2771"/>
      <c r="C314" s="1514" t="s">
        <v>500</v>
      </c>
      <c r="D314" s="1513" t="s">
        <v>501</v>
      </c>
      <c r="E314" s="718">
        <v>252000</v>
      </c>
      <c r="F314" s="718">
        <v>254040</v>
      </c>
      <c r="G314" s="1505">
        <f t="shared" si="57"/>
        <v>1.0080952380952382</v>
      </c>
    </row>
    <row r="315" spans="1:7" ht="17.100000000000001" customHeight="1" thickBot="1">
      <c r="A315" s="548"/>
      <c r="B315" s="559" t="s">
        <v>629</v>
      </c>
      <c r="C315" s="560"/>
      <c r="D315" s="561" t="s">
        <v>270</v>
      </c>
      <c r="E315" s="562">
        <f>E316+E356</f>
        <v>509370821</v>
      </c>
      <c r="F315" s="562">
        <f t="shared" ref="F315" si="64">F316+F356</f>
        <v>306350353</v>
      </c>
      <c r="G315" s="1478">
        <f t="shared" si="57"/>
        <v>0.60142894011590819</v>
      </c>
    </row>
    <row r="316" spans="1:7" ht="17.100000000000001" customHeight="1">
      <c r="A316" s="548"/>
      <c r="B316" s="746"/>
      <c r="C316" s="2790" t="s">
        <v>470</v>
      </c>
      <c r="D316" s="2790"/>
      <c r="E316" s="1542">
        <f>E317+E350+E353</f>
        <v>71434223</v>
      </c>
      <c r="F316" s="1542">
        <f>F317+F350+F353</f>
        <v>63192026</v>
      </c>
      <c r="G316" s="1424">
        <f t="shared" si="57"/>
        <v>0.8846183712252319</v>
      </c>
    </row>
    <row r="317" spans="1:7" ht="17.100000000000001" customHeight="1">
      <c r="A317" s="548"/>
      <c r="B317" s="746"/>
      <c r="C317" s="2811" t="s">
        <v>471</v>
      </c>
      <c r="D317" s="2811"/>
      <c r="E317" s="1436">
        <f t="shared" ref="E317:F317" si="65">E318+E325</f>
        <v>71193735</v>
      </c>
      <c r="F317" s="1436">
        <f t="shared" si="65"/>
        <v>62915626</v>
      </c>
      <c r="G317" s="1437">
        <f t="shared" si="57"/>
        <v>0.88372419286612791</v>
      </c>
    </row>
    <row r="318" spans="1:7" ht="17.100000000000001" customHeight="1">
      <c r="A318" s="548"/>
      <c r="B318" s="746"/>
      <c r="C318" s="2816" t="s">
        <v>472</v>
      </c>
      <c r="D318" s="2816"/>
      <c r="E318" s="1461">
        <f t="shared" ref="E318:F318" si="66">SUM(E319:E323)</f>
        <v>18108464</v>
      </c>
      <c r="F318" s="1461">
        <f t="shared" si="66"/>
        <v>18111533</v>
      </c>
      <c r="G318" s="1462">
        <f t="shared" si="57"/>
        <v>1.0001694787586624</v>
      </c>
    </row>
    <row r="319" spans="1:7" ht="17.100000000000001" customHeight="1">
      <c r="A319" s="548"/>
      <c r="B319" s="746"/>
      <c r="C319" s="1517" t="s">
        <v>473</v>
      </c>
      <c r="D319" s="1518" t="s">
        <v>474</v>
      </c>
      <c r="E319" s="1436">
        <v>14272313</v>
      </c>
      <c r="F319" s="1436">
        <v>14017988</v>
      </c>
      <c r="G319" s="1437">
        <f t="shared" si="57"/>
        <v>0.98218053373689329</v>
      </c>
    </row>
    <row r="320" spans="1:7" ht="17.100000000000001" customHeight="1">
      <c r="A320" s="548"/>
      <c r="B320" s="746"/>
      <c r="C320" s="1517" t="s">
        <v>475</v>
      </c>
      <c r="D320" s="1518" t="s">
        <v>476</v>
      </c>
      <c r="E320" s="1436">
        <v>957804</v>
      </c>
      <c r="F320" s="1436">
        <v>1058233</v>
      </c>
      <c r="G320" s="1437">
        <f t="shared" si="57"/>
        <v>1.1048533938049956</v>
      </c>
    </row>
    <row r="321" spans="1:7" ht="17.100000000000001" customHeight="1">
      <c r="A321" s="548"/>
      <c r="B321" s="746"/>
      <c r="C321" s="1517" t="s">
        <v>477</v>
      </c>
      <c r="D321" s="1518" t="s">
        <v>478</v>
      </c>
      <c r="E321" s="1436">
        <v>2506978</v>
      </c>
      <c r="F321" s="1436">
        <v>2613895</v>
      </c>
      <c r="G321" s="1437">
        <f t="shared" si="57"/>
        <v>1.0426477615679117</v>
      </c>
    </row>
    <row r="322" spans="1:7" ht="27.75" customHeight="1">
      <c r="A322" s="548"/>
      <c r="B322" s="746"/>
      <c r="C322" s="1517" t="s">
        <v>479</v>
      </c>
      <c r="D322" s="1518" t="s">
        <v>1028</v>
      </c>
      <c r="E322" s="1436">
        <v>349380</v>
      </c>
      <c r="F322" s="1436">
        <v>364281</v>
      </c>
      <c r="G322" s="1437">
        <f t="shared" si="57"/>
        <v>1.0426498368538555</v>
      </c>
    </row>
    <row r="323" spans="1:7" ht="17.100000000000001" customHeight="1">
      <c r="A323" s="548"/>
      <c r="B323" s="746"/>
      <c r="C323" s="1517" t="s">
        <v>481</v>
      </c>
      <c r="D323" s="1518" t="s">
        <v>482</v>
      </c>
      <c r="E323" s="1436">
        <v>21989</v>
      </c>
      <c r="F323" s="1436">
        <v>57136</v>
      </c>
      <c r="G323" s="1437">
        <f t="shared" si="57"/>
        <v>2.5983901041429807</v>
      </c>
    </row>
    <row r="324" spans="1:7" ht="17.100000000000001" customHeight="1">
      <c r="A324" s="548"/>
      <c r="B324" s="746"/>
      <c r="C324" s="713"/>
      <c r="D324" s="1530"/>
      <c r="E324" s="574"/>
      <c r="F324" s="574"/>
      <c r="G324" s="1510"/>
    </row>
    <row r="325" spans="1:7" ht="17.100000000000001" customHeight="1">
      <c r="A325" s="548"/>
      <c r="B325" s="746"/>
      <c r="C325" s="2817" t="s">
        <v>483</v>
      </c>
      <c r="D325" s="2817"/>
      <c r="E325" s="577">
        <f>SUM(E326:E348)</f>
        <v>53085271</v>
      </c>
      <c r="F325" s="577">
        <f t="shared" ref="F325" si="67">SUM(F326:F348)</f>
        <v>44804093</v>
      </c>
      <c r="G325" s="1543">
        <f t="shared" si="57"/>
        <v>0.84400234106368222</v>
      </c>
    </row>
    <row r="326" spans="1:7" ht="17.100000000000001" customHeight="1">
      <c r="A326" s="548"/>
      <c r="B326" s="746"/>
      <c r="C326" s="1517" t="s">
        <v>484</v>
      </c>
      <c r="D326" s="1518" t="s">
        <v>485</v>
      </c>
      <c r="E326" s="1436">
        <v>146343</v>
      </c>
      <c r="F326" s="1436">
        <v>180000</v>
      </c>
      <c r="G326" s="1437">
        <f t="shared" si="57"/>
        <v>1.2299870851356061</v>
      </c>
    </row>
    <row r="327" spans="1:7" ht="17.100000000000001" customHeight="1">
      <c r="A327" s="548"/>
      <c r="B327" s="746"/>
      <c r="C327" s="1517" t="s">
        <v>486</v>
      </c>
      <c r="D327" s="1518" t="s">
        <v>487</v>
      </c>
      <c r="E327" s="1436">
        <v>7577700</v>
      </c>
      <c r="F327" s="1436">
        <v>7404000</v>
      </c>
      <c r="G327" s="1437">
        <f t="shared" si="57"/>
        <v>0.97707747733481132</v>
      </c>
    </row>
    <row r="328" spans="1:7" ht="17.100000000000001" customHeight="1">
      <c r="A328" s="548"/>
      <c r="B328" s="746"/>
      <c r="C328" s="1517" t="s">
        <v>488</v>
      </c>
      <c r="D328" s="1518" t="s">
        <v>489</v>
      </c>
      <c r="E328" s="1436">
        <v>25000</v>
      </c>
      <c r="F328" s="1436">
        <v>25000</v>
      </c>
      <c r="G328" s="1437">
        <f t="shared" si="57"/>
        <v>1</v>
      </c>
    </row>
    <row r="329" spans="1:7" ht="17.100000000000001" customHeight="1">
      <c r="A329" s="548"/>
      <c r="B329" s="746"/>
      <c r="C329" s="1517" t="s">
        <v>490</v>
      </c>
      <c r="D329" s="1518" t="s">
        <v>491</v>
      </c>
      <c r="E329" s="1436">
        <v>651012</v>
      </c>
      <c r="F329" s="1436">
        <v>633000</v>
      </c>
      <c r="G329" s="1437">
        <f t="shared" si="57"/>
        <v>0.97233230723857622</v>
      </c>
    </row>
    <row r="330" spans="1:7" ht="17.100000000000001" customHeight="1">
      <c r="A330" s="548"/>
      <c r="B330" s="746"/>
      <c r="C330" s="1517" t="s">
        <v>492</v>
      </c>
      <c r="D330" s="1518" t="s">
        <v>493</v>
      </c>
      <c r="E330" s="1436">
        <v>26745150</v>
      </c>
      <c r="F330" s="1436">
        <v>18620000</v>
      </c>
      <c r="G330" s="1437">
        <f t="shared" si="57"/>
        <v>0.69620099345114905</v>
      </c>
    </row>
    <row r="331" spans="1:7" ht="17.100000000000001" customHeight="1">
      <c r="A331" s="548"/>
      <c r="B331" s="746"/>
      <c r="C331" s="1517" t="s">
        <v>494</v>
      </c>
      <c r="D331" s="1518" t="s">
        <v>495</v>
      </c>
      <c r="E331" s="1436">
        <v>44000</v>
      </c>
      <c r="F331" s="1436">
        <v>47200</v>
      </c>
      <c r="G331" s="1437">
        <f t="shared" si="57"/>
        <v>1.0727272727272728</v>
      </c>
    </row>
    <row r="332" spans="1:7" ht="17.100000000000001" customHeight="1">
      <c r="A332" s="548"/>
      <c r="B332" s="746"/>
      <c r="C332" s="1517" t="s">
        <v>496</v>
      </c>
      <c r="D332" s="1518" t="s">
        <v>497</v>
      </c>
      <c r="E332" s="1436">
        <f>15439900+10000</f>
        <v>15449900</v>
      </c>
      <c r="F332" s="1436">
        <f>15203400+10000</f>
        <v>15213400</v>
      </c>
      <c r="G332" s="1437">
        <f t="shared" si="57"/>
        <v>0.98469245755635959</v>
      </c>
    </row>
    <row r="333" spans="1:7" ht="16.5" customHeight="1">
      <c r="A333" s="548"/>
      <c r="B333" s="746"/>
      <c r="C333" s="1517" t="s">
        <v>498</v>
      </c>
      <c r="D333" s="1518" t="s">
        <v>499</v>
      </c>
      <c r="E333" s="1436">
        <v>94000</v>
      </c>
      <c r="F333" s="1436">
        <v>85000</v>
      </c>
      <c r="G333" s="1437">
        <f t="shared" si="57"/>
        <v>0.9042553191489362</v>
      </c>
    </row>
    <row r="334" spans="1:7" ht="17.100000000000001" customHeight="1">
      <c r="A334" s="548"/>
      <c r="B334" s="746"/>
      <c r="C334" s="1517" t="s">
        <v>500</v>
      </c>
      <c r="D334" s="1518" t="s">
        <v>501</v>
      </c>
      <c r="E334" s="1436">
        <v>767000</v>
      </c>
      <c r="F334" s="1436">
        <v>859000</v>
      </c>
      <c r="G334" s="1437">
        <f t="shared" si="57"/>
        <v>1.1199478487614081</v>
      </c>
    </row>
    <row r="335" spans="1:7" ht="17.100000000000001" customHeight="1">
      <c r="A335" s="548"/>
      <c r="B335" s="746"/>
      <c r="C335" s="1517" t="s">
        <v>504</v>
      </c>
      <c r="D335" s="1518" t="s">
        <v>505</v>
      </c>
      <c r="E335" s="1436">
        <v>17500</v>
      </c>
      <c r="F335" s="1436">
        <v>10000</v>
      </c>
      <c r="G335" s="1437">
        <f t="shared" si="57"/>
        <v>0.5714285714285714</v>
      </c>
    </row>
    <row r="336" spans="1:7" ht="17.100000000000001" hidden="1" customHeight="1">
      <c r="A336" s="548"/>
      <c r="B336" s="746"/>
      <c r="C336" s="1517" t="s">
        <v>630</v>
      </c>
      <c r="D336" s="1518" t="s">
        <v>505</v>
      </c>
      <c r="E336" s="1436"/>
      <c r="F336" s="1436"/>
      <c r="G336" s="1437" t="e">
        <f t="shared" si="57"/>
        <v>#DIV/0!</v>
      </c>
    </row>
    <row r="337" spans="1:7" ht="17.100000000000001" customHeight="1">
      <c r="A337" s="548"/>
      <c r="B337" s="746"/>
      <c r="C337" s="1517" t="s">
        <v>630</v>
      </c>
      <c r="D337" s="1518" t="s">
        <v>631</v>
      </c>
      <c r="E337" s="1436">
        <v>20000</v>
      </c>
      <c r="F337" s="1436">
        <v>20000</v>
      </c>
      <c r="G337" s="1437">
        <f t="shared" si="57"/>
        <v>1</v>
      </c>
    </row>
    <row r="338" spans="1:7" ht="17.100000000000001" customHeight="1">
      <c r="A338" s="548"/>
      <c r="B338" s="746"/>
      <c r="C338" s="1517" t="s">
        <v>506</v>
      </c>
      <c r="D338" s="1518" t="s">
        <v>507</v>
      </c>
      <c r="E338" s="1436">
        <v>627000</v>
      </c>
      <c r="F338" s="1436">
        <v>921000</v>
      </c>
      <c r="G338" s="1437">
        <f t="shared" si="57"/>
        <v>1.4688995215311005</v>
      </c>
    </row>
    <row r="339" spans="1:7" ht="17.100000000000001" customHeight="1">
      <c r="A339" s="548"/>
      <c r="B339" s="746"/>
      <c r="C339" s="1517" t="s">
        <v>508</v>
      </c>
      <c r="D339" s="1518" t="s">
        <v>509</v>
      </c>
      <c r="E339" s="1436">
        <v>300209</v>
      </c>
      <c r="F339" s="1436">
        <v>301793</v>
      </c>
      <c r="G339" s="1437">
        <f t="shared" si="57"/>
        <v>1.0052763241608347</v>
      </c>
    </row>
    <row r="340" spans="1:7" ht="17.100000000000001" customHeight="1">
      <c r="A340" s="548"/>
      <c r="B340" s="746"/>
      <c r="C340" s="1517" t="s">
        <v>510</v>
      </c>
      <c r="D340" s="1518" t="s">
        <v>511</v>
      </c>
      <c r="E340" s="1436">
        <v>126000</v>
      </c>
      <c r="F340" s="1436">
        <v>126000</v>
      </c>
      <c r="G340" s="1437">
        <f t="shared" si="57"/>
        <v>1</v>
      </c>
    </row>
    <row r="341" spans="1:7" ht="17.100000000000001" customHeight="1">
      <c r="A341" s="548"/>
      <c r="B341" s="746"/>
      <c r="C341" s="1517" t="s">
        <v>529</v>
      </c>
      <c r="D341" s="1518" t="s">
        <v>530</v>
      </c>
      <c r="E341" s="1436">
        <v>11000</v>
      </c>
      <c r="F341" s="1436">
        <v>10000</v>
      </c>
      <c r="G341" s="1437">
        <f t="shared" si="57"/>
        <v>0.90909090909090906</v>
      </c>
    </row>
    <row r="342" spans="1:7" ht="17.100000000000001" customHeight="1">
      <c r="A342" s="548"/>
      <c r="B342" s="746"/>
      <c r="C342" s="1517" t="s">
        <v>512</v>
      </c>
      <c r="D342" s="1518" t="s">
        <v>513</v>
      </c>
      <c r="E342" s="1436">
        <v>0</v>
      </c>
      <c r="F342" s="1436">
        <v>500</v>
      </c>
      <c r="G342" s="1437"/>
    </row>
    <row r="343" spans="1:7" ht="17.100000000000001" customHeight="1">
      <c r="A343" s="548"/>
      <c r="B343" s="746"/>
      <c r="C343" s="1517" t="s">
        <v>514</v>
      </c>
      <c r="D343" s="1518" t="s">
        <v>515</v>
      </c>
      <c r="E343" s="1436">
        <v>188300</v>
      </c>
      <c r="F343" s="1436">
        <v>218200</v>
      </c>
      <c r="G343" s="1437">
        <f t="shared" si="57"/>
        <v>1.1587891662241105</v>
      </c>
    </row>
    <row r="344" spans="1:7" ht="17.100000000000001" hidden="1" customHeight="1">
      <c r="A344" s="548"/>
      <c r="B344" s="746"/>
      <c r="C344" s="1517" t="s">
        <v>632</v>
      </c>
      <c r="D344" s="1518" t="s">
        <v>633</v>
      </c>
      <c r="E344" s="1436">
        <v>27504</v>
      </c>
      <c r="F344" s="1436">
        <v>0</v>
      </c>
      <c r="G344" s="1437">
        <f t="shared" ref="G344:G426" si="68">F344/E344</f>
        <v>0</v>
      </c>
    </row>
    <row r="345" spans="1:7" ht="17.100000000000001" customHeight="1">
      <c r="A345" s="548"/>
      <c r="B345" s="746"/>
      <c r="C345" s="1517" t="s">
        <v>578</v>
      </c>
      <c r="D345" s="1518" t="s">
        <v>579</v>
      </c>
      <c r="E345" s="1436">
        <v>122740</v>
      </c>
      <c r="F345" s="1436">
        <v>10000</v>
      </c>
      <c r="G345" s="1437">
        <f t="shared" si="68"/>
        <v>8.1473032426266911E-2</v>
      </c>
    </row>
    <row r="346" spans="1:7" ht="24.75" hidden="1" customHeight="1">
      <c r="A346" s="548"/>
      <c r="B346" s="746"/>
      <c r="C346" s="1517" t="s">
        <v>634</v>
      </c>
      <c r="D346" s="1518" t="s">
        <v>635</v>
      </c>
      <c r="E346" s="1436"/>
      <c r="F346" s="1436"/>
      <c r="G346" s="1437" t="e">
        <f t="shared" si="68"/>
        <v>#DIV/0!</v>
      </c>
    </row>
    <row r="347" spans="1:7" ht="17.100000000000001" customHeight="1">
      <c r="A347" s="548"/>
      <c r="B347" s="746"/>
      <c r="C347" s="1517" t="s">
        <v>580</v>
      </c>
      <c r="D347" s="1518" t="s">
        <v>581</v>
      </c>
      <c r="E347" s="1436">
        <v>34913</v>
      </c>
      <c r="F347" s="1436">
        <v>10000</v>
      </c>
      <c r="G347" s="1437">
        <f t="shared" si="68"/>
        <v>0.28642625955947643</v>
      </c>
    </row>
    <row r="348" spans="1:7" ht="17.100000000000001" customHeight="1">
      <c r="A348" s="548"/>
      <c r="B348" s="746"/>
      <c r="C348" s="1517" t="s">
        <v>518</v>
      </c>
      <c r="D348" s="1518" t="s">
        <v>519</v>
      </c>
      <c r="E348" s="1436">
        <v>110000</v>
      </c>
      <c r="F348" s="1436">
        <v>110000</v>
      </c>
      <c r="G348" s="1437">
        <f t="shared" si="68"/>
        <v>1</v>
      </c>
    </row>
    <row r="349" spans="1:7" ht="17.100000000000001" customHeight="1">
      <c r="A349" s="548"/>
      <c r="B349" s="746"/>
      <c r="C349" s="553"/>
      <c r="D349" s="553"/>
      <c r="E349" s="550"/>
      <c r="F349" s="550"/>
      <c r="G349" s="1433"/>
    </row>
    <row r="350" spans="1:7" ht="17.100000000000001" customHeight="1">
      <c r="A350" s="548"/>
      <c r="B350" s="746"/>
      <c r="C350" s="2808" t="s">
        <v>520</v>
      </c>
      <c r="D350" s="2808"/>
      <c r="E350" s="1436">
        <f t="shared" ref="E350:F350" si="69">E351</f>
        <v>240000</v>
      </c>
      <c r="F350" s="1436">
        <f t="shared" si="69"/>
        <v>276400</v>
      </c>
      <c r="G350" s="1437">
        <f t="shared" si="68"/>
        <v>1.1516666666666666</v>
      </c>
    </row>
    <row r="351" spans="1:7" ht="17.100000000000001" customHeight="1">
      <c r="A351" s="548"/>
      <c r="B351" s="746"/>
      <c r="C351" s="1514" t="s">
        <v>521</v>
      </c>
      <c r="D351" s="1513" t="s">
        <v>522</v>
      </c>
      <c r="E351" s="718">
        <v>240000</v>
      </c>
      <c r="F351" s="718">
        <v>276400</v>
      </c>
      <c r="G351" s="1505">
        <f t="shared" si="68"/>
        <v>1.1516666666666666</v>
      </c>
    </row>
    <row r="352" spans="1:7" ht="17.100000000000001" customHeight="1">
      <c r="A352" s="548"/>
      <c r="B352" s="746"/>
      <c r="C352" s="1508"/>
      <c r="D352" s="1544"/>
      <c r="E352" s="1464"/>
      <c r="F352" s="1464"/>
      <c r="G352" s="1505"/>
    </row>
    <row r="353" spans="1:7" ht="17.100000000000001" hidden="1" customHeight="1">
      <c r="A353" s="548"/>
      <c r="B353" s="746"/>
      <c r="C353" s="2818" t="s">
        <v>536</v>
      </c>
      <c r="D353" s="2819"/>
      <c r="E353" s="1545" t="str">
        <f>E354</f>
        <v>488</v>
      </c>
      <c r="F353" s="1545" t="str">
        <f>F354</f>
        <v>0</v>
      </c>
      <c r="G353" s="1505">
        <f t="shared" si="68"/>
        <v>0</v>
      </c>
    </row>
    <row r="354" spans="1:7" ht="41.25" hidden="1" customHeight="1">
      <c r="A354" s="548"/>
      <c r="B354" s="746"/>
      <c r="C354" s="1506" t="s">
        <v>589</v>
      </c>
      <c r="D354" s="1546" t="s">
        <v>590</v>
      </c>
      <c r="E354" s="1547" t="s">
        <v>1031</v>
      </c>
      <c r="F354" s="1547" t="s">
        <v>1032</v>
      </c>
      <c r="G354" s="1505">
        <f t="shared" si="68"/>
        <v>0</v>
      </c>
    </row>
    <row r="355" spans="1:7" ht="17.100000000000001" hidden="1" customHeight="1">
      <c r="A355" s="548"/>
      <c r="B355" s="746"/>
      <c r="C355" s="1508"/>
      <c r="D355" s="1548"/>
      <c r="E355" s="574"/>
      <c r="F355" s="574"/>
      <c r="G355" s="1465"/>
    </row>
    <row r="356" spans="1:7" ht="17.100000000000001" customHeight="1">
      <c r="A356" s="548"/>
      <c r="B356" s="746"/>
      <c r="C356" s="2806" t="s">
        <v>523</v>
      </c>
      <c r="D356" s="2806"/>
      <c r="E356" s="549">
        <f>E357</f>
        <v>437936598</v>
      </c>
      <c r="F356" s="549">
        <f t="shared" ref="F356" si="70">F357</f>
        <v>243158327</v>
      </c>
      <c r="G356" s="1424">
        <f t="shared" si="68"/>
        <v>0.5552363700829589</v>
      </c>
    </row>
    <row r="357" spans="1:7" ht="17.100000000000001" customHeight="1">
      <c r="A357" s="548"/>
      <c r="B357" s="746"/>
      <c r="C357" s="2808" t="s">
        <v>636</v>
      </c>
      <c r="D357" s="2808"/>
      <c r="E357" s="1436">
        <f>SUM(E358:E368)</f>
        <v>437936598</v>
      </c>
      <c r="F357" s="1436">
        <f t="shared" ref="F357" si="71">SUM(F358:F368)</f>
        <v>243158327</v>
      </c>
      <c r="G357" s="1437">
        <f t="shared" si="68"/>
        <v>0.5552363700829589</v>
      </c>
    </row>
    <row r="358" spans="1:7" ht="17.100000000000001" customHeight="1">
      <c r="A358" s="548"/>
      <c r="B358" s="746"/>
      <c r="C358" s="1517" t="s">
        <v>531</v>
      </c>
      <c r="D358" s="1518" t="s">
        <v>526</v>
      </c>
      <c r="E358" s="1436">
        <v>62422962</v>
      </c>
      <c r="F358" s="1436">
        <v>66589530</v>
      </c>
      <c r="G358" s="1437">
        <f t="shared" si="68"/>
        <v>1.0667473613315561</v>
      </c>
    </row>
    <row r="359" spans="1:7" ht="17.100000000000001" customHeight="1">
      <c r="A359" s="548"/>
      <c r="B359" s="746"/>
      <c r="C359" s="1517" t="s">
        <v>625</v>
      </c>
      <c r="D359" s="1518" t="s">
        <v>526</v>
      </c>
      <c r="E359" s="1436">
        <v>275892832</v>
      </c>
      <c r="F359" s="1436">
        <v>98908310</v>
      </c>
      <c r="G359" s="1437">
        <f t="shared" si="68"/>
        <v>0.3585026449690436</v>
      </c>
    </row>
    <row r="360" spans="1:7" ht="17.100000000000001" customHeight="1">
      <c r="A360" s="548"/>
      <c r="B360" s="746"/>
      <c r="C360" s="1517" t="s">
        <v>637</v>
      </c>
      <c r="D360" s="1518" t="s">
        <v>526</v>
      </c>
      <c r="E360" s="1436">
        <v>12049668</v>
      </c>
      <c r="F360" s="1436">
        <v>38046424</v>
      </c>
      <c r="G360" s="1437">
        <f t="shared" si="68"/>
        <v>3.1574665791621812</v>
      </c>
    </row>
    <row r="361" spans="1:7" ht="17.100000000000001" customHeight="1">
      <c r="A361" s="548"/>
      <c r="B361" s="746"/>
      <c r="C361" s="1517" t="s">
        <v>626</v>
      </c>
      <c r="D361" s="1518" t="s">
        <v>526</v>
      </c>
      <c r="E361" s="1436">
        <v>51040367</v>
      </c>
      <c r="F361" s="1436">
        <v>21610022</v>
      </c>
      <c r="G361" s="1437">
        <f t="shared" si="68"/>
        <v>0.42339080359669046</v>
      </c>
    </row>
    <row r="362" spans="1:7" ht="17.100000000000001" customHeight="1">
      <c r="A362" s="548"/>
      <c r="B362" s="746"/>
      <c r="C362" s="1517" t="s">
        <v>525</v>
      </c>
      <c r="D362" s="1518" t="s">
        <v>571</v>
      </c>
      <c r="E362" s="1436">
        <v>14132604</v>
      </c>
      <c r="F362" s="1436">
        <v>7153000</v>
      </c>
      <c r="G362" s="1437">
        <f t="shared" si="68"/>
        <v>0.50613460902180518</v>
      </c>
    </row>
    <row r="363" spans="1:7" ht="17.100000000000001" customHeight="1">
      <c r="A363" s="548"/>
      <c r="B363" s="746"/>
      <c r="C363" s="1517" t="s">
        <v>604</v>
      </c>
      <c r="D363" s="1518" t="s">
        <v>571</v>
      </c>
      <c r="E363" s="1436">
        <v>14702489</v>
      </c>
      <c r="F363" s="1436">
        <v>5397500</v>
      </c>
      <c r="G363" s="1437">
        <f t="shared" si="68"/>
        <v>0.36711471098533044</v>
      </c>
    </row>
    <row r="364" spans="1:7" ht="17.100000000000001" hidden="1" customHeight="1">
      <c r="A364" s="548"/>
      <c r="B364" s="746"/>
      <c r="C364" s="1517" t="s">
        <v>638</v>
      </c>
      <c r="D364" s="1518" t="s">
        <v>571</v>
      </c>
      <c r="E364" s="1436">
        <v>493471</v>
      </c>
      <c r="F364" s="1436">
        <v>0</v>
      </c>
      <c r="G364" s="1437">
        <f t="shared" si="68"/>
        <v>0</v>
      </c>
    </row>
    <row r="365" spans="1:7" ht="17.100000000000001" customHeight="1">
      <c r="A365" s="548"/>
      <c r="B365" s="746"/>
      <c r="C365" s="1517" t="s">
        <v>623</v>
      </c>
      <c r="D365" s="1518" t="s">
        <v>571</v>
      </c>
      <c r="E365" s="1436">
        <v>2668818</v>
      </c>
      <c r="F365" s="1436">
        <v>952500</v>
      </c>
      <c r="G365" s="1437">
        <f t="shared" si="68"/>
        <v>0.35689957127087724</v>
      </c>
    </row>
    <row r="366" spans="1:7" ht="42" customHeight="1">
      <c r="A366" s="548"/>
      <c r="B366" s="746"/>
      <c r="C366" s="1528" t="s">
        <v>1033</v>
      </c>
      <c r="D366" s="1529" t="s">
        <v>611</v>
      </c>
      <c r="E366" s="1436">
        <v>4528959</v>
      </c>
      <c r="F366" s="1436">
        <v>4501041</v>
      </c>
      <c r="G366" s="1437">
        <f t="shared" si="68"/>
        <v>0.99383566952140656</v>
      </c>
    </row>
    <row r="367" spans="1:7" ht="51.75" hidden="1" customHeight="1">
      <c r="A367" s="548"/>
      <c r="B367" s="746"/>
      <c r="C367" s="1549" t="s">
        <v>991</v>
      </c>
      <c r="D367" s="651" t="s">
        <v>533</v>
      </c>
      <c r="E367" s="1436">
        <v>3771</v>
      </c>
      <c r="F367" s="1436">
        <v>0</v>
      </c>
      <c r="G367" s="1437">
        <f t="shared" si="68"/>
        <v>0</v>
      </c>
    </row>
    <row r="368" spans="1:7" ht="54.75" hidden="1" customHeight="1">
      <c r="A368" s="548"/>
      <c r="B368" s="746"/>
      <c r="C368" s="1528" t="s">
        <v>722</v>
      </c>
      <c r="D368" s="651" t="s">
        <v>533</v>
      </c>
      <c r="E368" s="1436">
        <v>657</v>
      </c>
      <c r="F368" s="1436">
        <v>0</v>
      </c>
      <c r="G368" s="1437">
        <f t="shared" si="68"/>
        <v>0</v>
      </c>
    </row>
    <row r="369" spans="1:8" ht="13.5" customHeight="1">
      <c r="A369" s="548"/>
      <c r="B369" s="746"/>
      <c r="C369" s="553"/>
      <c r="D369" s="749"/>
      <c r="E369" s="557"/>
      <c r="F369" s="557"/>
      <c r="G369" s="1460"/>
      <c r="H369" s="578"/>
    </row>
    <row r="370" spans="1:8" ht="17.100000000000001" customHeight="1">
      <c r="A370" s="548"/>
      <c r="B370" s="746"/>
      <c r="C370" s="2799" t="s">
        <v>534</v>
      </c>
      <c r="D370" s="2800"/>
      <c r="E370" s="1461">
        <f>SUM(E371:E381)</f>
        <v>390224328</v>
      </c>
      <c r="F370" s="1461">
        <f>SUM(F371:F381)</f>
        <v>183280450</v>
      </c>
      <c r="G370" s="1462">
        <f t="shared" si="68"/>
        <v>0.46967971202451531</v>
      </c>
    </row>
    <row r="371" spans="1:8" ht="17.100000000000001" customHeight="1">
      <c r="A371" s="548"/>
      <c r="B371" s="746"/>
      <c r="C371" s="1527" t="s">
        <v>531</v>
      </c>
      <c r="D371" s="1550" t="s">
        <v>526</v>
      </c>
      <c r="E371" s="1436">
        <v>19813692</v>
      </c>
      <c r="F371" s="1436">
        <v>13864653</v>
      </c>
      <c r="G371" s="1437">
        <f t="shared" si="68"/>
        <v>0.69975111150410529</v>
      </c>
    </row>
    <row r="372" spans="1:8" ht="17.100000000000001" customHeight="1">
      <c r="A372" s="548"/>
      <c r="B372" s="746"/>
      <c r="C372" s="1527" t="s">
        <v>625</v>
      </c>
      <c r="D372" s="1550" t="s">
        <v>526</v>
      </c>
      <c r="E372" s="1436">
        <v>275892832</v>
      </c>
      <c r="F372" s="1436">
        <v>98908310</v>
      </c>
      <c r="G372" s="1437">
        <f t="shared" si="68"/>
        <v>0.3585026449690436</v>
      </c>
    </row>
    <row r="373" spans="1:8" ht="17.100000000000001" customHeight="1">
      <c r="A373" s="548"/>
      <c r="B373" s="746"/>
      <c r="C373" s="1527" t="s">
        <v>637</v>
      </c>
      <c r="D373" s="1550" t="s">
        <v>526</v>
      </c>
      <c r="E373" s="1436">
        <v>12049668</v>
      </c>
      <c r="F373" s="1436">
        <v>38046424</v>
      </c>
      <c r="G373" s="1437">
        <f t="shared" si="68"/>
        <v>3.1574665791621812</v>
      </c>
    </row>
    <row r="374" spans="1:8" ht="17.100000000000001" customHeight="1">
      <c r="A374" s="548"/>
      <c r="B374" s="746"/>
      <c r="C374" s="1517" t="s">
        <v>626</v>
      </c>
      <c r="D374" s="1518" t="s">
        <v>526</v>
      </c>
      <c r="E374" s="1436">
        <v>51040367</v>
      </c>
      <c r="F374" s="1436">
        <v>21610022</v>
      </c>
      <c r="G374" s="1437">
        <f t="shared" si="68"/>
        <v>0.42339080359669046</v>
      </c>
    </row>
    <row r="375" spans="1:8" ht="17.100000000000001" hidden="1" customHeight="1">
      <c r="A375" s="548"/>
      <c r="B375" s="746"/>
      <c r="C375" s="1517" t="s">
        <v>525</v>
      </c>
      <c r="D375" s="1518" t="s">
        <v>571</v>
      </c>
      <c r="E375" s="1436">
        <v>9029604</v>
      </c>
      <c r="F375" s="1436">
        <v>0</v>
      </c>
      <c r="G375" s="1437">
        <f t="shared" si="68"/>
        <v>0</v>
      </c>
    </row>
    <row r="376" spans="1:8" ht="17.100000000000001" customHeight="1">
      <c r="A376" s="548"/>
      <c r="B376" s="746"/>
      <c r="C376" s="1517" t="s">
        <v>604</v>
      </c>
      <c r="D376" s="1518" t="s">
        <v>571</v>
      </c>
      <c r="E376" s="1436">
        <v>14702489</v>
      </c>
      <c r="F376" s="1436">
        <v>5397500</v>
      </c>
      <c r="G376" s="1437">
        <f t="shared" si="68"/>
        <v>0.36711471098533044</v>
      </c>
    </row>
    <row r="377" spans="1:8" ht="17.100000000000001" hidden="1" customHeight="1">
      <c r="A377" s="548"/>
      <c r="B377" s="746"/>
      <c r="C377" s="1514" t="s">
        <v>638</v>
      </c>
      <c r="D377" s="1518" t="s">
        <v>571</v>
      </c>
      <c r="E377" s="1436">
        <v>493471</v>
      </c>
      <c r="F377" s="1436">
        <v>0</v>
      </c>
      <c r="G377" s="1437">
        <f t="shared" si="68"/>
        <v>0</v>
      </c>
    </row>
    <row r="378" spans="1:8" ht="17.100000000000001" customHeight="1">
      <c r="A378" s="548"/>
      <c r="B378" s="746"/>
      <c r="C378" s="1514" t="s">
        <v>623</v>
      </c>
      <c r="D378" s="1513" t="s">
        <v>571</v>
      </c>
      <c r="E378" s="1436">
        <v>2668818</v>
      </c>
      <c r="F378" s="1436">
        <v>952500</v>
      </c>
      <c r="G378" s="1437">
        <f t="shared" si="68"/>
        <v>0.35689957127087724</v>
      </c>
    </row>
    <row r="379" spans="1:8" ht="39.75" customHeight="1" thickBot="1">
      <c r="A379" s="548"/>
      <c r="B379" s="746"/>
      <c r="C379" s="1528" t="s">
        <v>1033</v>
      </c>
      <c r="D379" s="1529" t="s">
        <v>611</v>
      </c>
      <c r="E379" s="551">
        <v>4528959</v>
      </c>
      <c r="F379" s="551">
        <v>4501041</v>
      </c>
      <c r="G379" s="1438">
        <f t="shared" si="68"/>
        <v>0.99383566952140656</v>
      </c>
    </row>
    <row r="380" spans="1:8" ht="51.75" hidden="1" customHeight="1">
      <c r="A380" s="548"/>
      <c r="B380" s="746"/>
      <c r="C380" s="1549" t="s">
        <v>991</v>
      </c>
      <c r="D380" s="651" t="s">
        <v>533</v>
      </c>
      <c r="E380" s="718">
        <v>3771</v>
      </c>
      <c r="F380" s="718">
        <v>0</v>
      </c>
      <c r="G380" s="1505">
        <f t="shared" si="68"/>
        <v>0</v>
      </c>
    </row>
    <row r="381" spans="1:8" ht="49.5" hidden="1" customHeight="1" thickBot="1">
      <c r="A381" s="548"/>
      <c r="B381" s="746"/>
      <c r="C381" s="1528" t="s">
        <v>722</v>
      </c>
      <c r="D381" s="651" t="s">
        <v>533</v>
      </c>
      <c r="E381" s="552">
        <v>657</v>
      </c>
      <c r="F381" s="552">
        <v>0</v>
      </c>
      <c r="G381" s="1445">
        <f t="shared" si="68"/>
        <v>0</v>
      </c>
    </row>
    <row r="382" spans="1:8" ht="15" customHeight="1" thickBot="1">
      <c r="A382" s="548"/>
      <c r="B382" s="559" t="s">
        <v>113</v>
      </c>
      <c r="C382" s="560"/>
      <c r="D382" s="561" t="s">
        <v>639</v>
      </c>
      <c r="E382" s="562">
        <f>E383+E387</f>
        <v>1622773</v>
      </c>
      <c r="F382" s="562">
        <f t="shared" ref="F382" si="72">F383+F387</f>
        <v>2055000</v>
      </c>
      <c r="G382" s="1478">
        <f t="shared" si="68"/>
        <v>1.2663508697766108</v>
      </c>
    </row>
    <row r="383" spans="1:8" ht="15" hidden="1" customHeight="1">
      <c r="A383" s="548"/>
      <c r="B383" s="575"/>
      <c r="C383" s="2790" t="s">
        <v>470</v>
      </c>
      <c r="D383" s="2790"/>
      <c r="E383" s="579">
        <f>E384</f>
        <v>0</v>
      </c>
      <c r="F383" s="579">
        <f t="shared" ref="F383:F384" si="73">F384</f>
        <v>0</v>
      </c>
      <c r="G383" s="1551" t="e">
        <f t="shared" si="68"/>
        <v>#DIV/0!</v>
      </c>
    </row>
    <row r="384" spans="1:8" ht="15" hidden="1" customHeight="1">
      <c r="A384" s="548"/>
      <c r="B384" s="575"/>
      <c r="C384" s="2808" t="s">
        <v>567</v>
      </c>
      <c r="D384" s="2808"/>
      <c r="E384" s="1552">
        <f>E385</f>
        <v>0</v>
      </c>
      <c r="F384" s="1552">
        <f t="shared" si="73"/>
        <v>0</v>
      </c>
      <c r="G384" s="1553" t="e">
        <f t="shared" si="68"/>
        <v>#DIV/0!</v>
      </c>
    </row>
    <row r="385" spans="1:7" ht="33.75" hidden="1" customHeight="1">
      <c r="A385" s="548"/>
      <c r="B385" s="575"/>
      <c r="C385" s="1531" t="s">
        <v>277</v>
      </c>
      <c r="D385" s="1532" t="s">
        <v>620</v>
      </c>
      <c r="E385" s="1552"/>
      <c r="F385" s="1552">
        <v>0</v>
      </c>
      <c r="G385" s="1553" t="e">
        <f t="shared" si="68"/>
        <v>#DIV/0!</v>
      </c>
    </row>
    <row r="386" spans="1:7" ht="15" hidden="1" customHeight="1">
      <c r="A386" s="548"/>
      <c r="B386" s="575"/>
      <c r="C386" s="1554"/>
      <c r="D386" s="1555"/>
      <c r="E386" s="1556"/>
      <c r="F386" s="1556"/>
      <c r="G386" s="1557"/>
    </row>
    <row r="387" spans="1:7">
      <c r="A387" s="548"/>
      <c r="B387" s="746"/>
      <c r="C387" s="2806" t="s">
        <v>640</v>
      </c>
      <c r="D387" s="2806"/>
      <c r="E387" s="549">
        <f t="shared" ref="E387:F388" si="74">E388</f>
        <v>1622773</v>
      </c>
      <c r="F387" s="549">
        <f t="shared" si="74"/>
        <v>2055000</v>
      </c>
      <c r="G387" s="1424">
        <f t="shared" si="68"/>
        <v>1.2663508697766108</v>
      </c>
    </row>
    <row r="388" spans="1:7" ht="16.5" customHeight="1">
      <c r="A388" s="548"/>
      <c r="B388" s="746"/>
      <c r="C388" s="2808" t="s">
        <v>641</v>
      </c>
      <c r="D388" s="2808"/>
      <c r="E388" s="1436">
        <f t="shared" si="74"/>
        <v>1622773</v>
      </c>
      <c r="F388" s="1436">
        <f t="shared" si="74"/>
        <v>2055000</v>
      </c>
      <c r="G388" s="1437">
        <f t="shared" si="68"/>
        <v>1.2663508697766108</v>
      </c>
    </row>
    <row r="389" spans="1:7" ht="39" thickBot="1">
      <c r="A389" s="548"/>
      <c r="B389" s="746"/>
      <c r="C389" s="1514" t="s">
        <v>642</v>
      </c>
      <c r="D389" s="1513" t="s">
        <v>643</v>
      </c>
      <c r="E389" s="718">
        <v>1622773</v>
      </c>
      <c r="F389" s="718">
        <v>2055000</v>
      </c>
      <c r="G389" s="1505">
        <f t="shared" si="68"/>
        <v>1.2663508697766108</v>
      </c>
    </row>
    <row r="390" spans="1:7" ht="15" hidden="1" customHeight="1" thickBot="1">
      <c r="A390" s="548"/>
      <c r="B390" s="559" t="s">
        <v>184</v>
      </c>
      <c r="C390" s="560"/>
      <c r="D390" s="561" t="s">
        <v>205</v>
      </c>
      <c r="E390" s="576">
        <f>E391</f>
        <v>1220000</v>
      </c>
      <c r="F390" s="576">
        <f t="shared" ref="F390:F392" si="75">F391</f>
        <v>0</v>
      </c>
      <c r="G390" s="1536">
        <f t="shared" si="68"/>
        <v>0</v>
      </c>
    </row>
    <row r="391" spans="1:7" ht="14.25" hidden="1" customHeight="1">
      <c r="A391" s="548"/>
      <c r="B391" s="746"/>
      <c r="C391" s="2823" t="s">
        <v>523</v>
      </c>
      <c r="D391" s="2824"/>
      <c r="E391" s="551">
        <f>E392</f>
        <v>1220000</v>
      </c>
      <c r="F391" s="551">
        <f t="shared" si="75"/>
        <v>0</v>
      </c>
      <c r="G391" s="1438">
        <f t="shared" si="68"/>
        <v>0</v>
      </c>
    </row>
    <row r="392" spans="1:7" ht="16.5" hidden="1" customHeight="1">
      <c r="A392" s="548"/>
      <c r="B392" s="746"/>
      <c r="C392" s="2825" t="s">
        <v>641</v>
      </c>
      <c r="D392" s="2825"/>
      <c r="E392" s="1436">
        <f>E393</f>
        <v>1220000</v>
      </c>
      <c r="F392" s="1436">
        <f t="shared" si="75"/>
        <v>0</v>
      </c>
      <c r="G392" s="1437">
        <f t="shared" si="68"/>
        <v>0</v>
      </c>
    </row>
    <row r="393" spans="1:7" ht="42" hidden="1" customHeight="1" thickBot="1">
      <c r="A393" s="548"/>
      <c r="B393" s="746"/>
      <c r="C393" s="1514" t="s">
        <v>642</v>
      </c>
      <c r="D393" s="1513" t="s">
        <v>643</v>
      </c>
      <c r="E393" s="552">
        <v>1220000</v>
      </c>
      <c r="F393" s="552">
        <v>0</v>
      </c>
      <c r="G393" s="1445">
        <f t="shared" si="68"/>
        <v>0</v>
      </c>
    </row>
    <row r="394" spans="1:7" ht="17.25" hidden="1" customHeight="1" thickBot="1">
      <c r="A394" s="548"/>
      <c r="B394" s="559" t="s">
        <v>1034</v>
      </c>
      <c r="C394" s="560"/>
      <c r="D394" s="561" t="s">
        <v>1035</v>
      </c>
      <c r="E394" s="576">
        <f>E395</f>
        <v>500000</v>
      </c>
      <c r="F394" s="576">
        <f t="shared" ref="F394:F396" si="76">F395</f>
        <v>0</v>
      </c>
      <c r="G394" s="1536">
        <f t="shared" si="68"/>
        <v>0</v>
      </c>
    </row>
    <row r="395" spans="1:7" ht="18.75" hidden="1" customHeight="1">
      <c r="A395" s="548"/>
      <c r="B395" s="746"/>
      <c r="C395" s="2823" t="s">
        <v>523</v>
      </c>
      <c r="D395" s="2824"/>
      <c r="E395" s="551">
        <f>E396</f>
        <v>500000</v>
      </c>
      <c r="F395" s="551">
        <f t="shared" si="76"/>
        <v>0</v>
      </c>
      <c r="G395" s="1438">
        <f t="shared" si="68"/>
        <v>0</v>
      </c>
    </row>
    <row r="396" spans="1:7" ht="15.75" hidden="1" customHeight="1">
      <c r="A396" s="548"/>
      <c r="B396" s="746"/>
      <c r="C396" s="2825" t="s">
        <v>641</v>
      </c>
      <c r="D396" s="2825"/>
      <c r="E396" s="1436">
        <f>E397</f>
        <v>500000</v>
      </c>
      <c r="F396" s="1436">
        <f t="shared" si="76"/>
        <v>0</v>
      </c>
      <c r="G396" s="1437">
        <f t="shared" si="68"/>
        <v>0</v>
      </c>
    </row>
    <row r="397" spans="1:7" ht="42" hidden="1" customHeight="1" thickBot="1">
      <c r="A397" s="548"/>
      <c r="B397" s="746"/>
      <c r="C397" s="1514" t="s">
        <v>642</v>
      </c>
      <c r="D397" s="1558" t="s">
        <v>643</v>
      </c>
      <c r="E397" s="552">
        <v>500000</v>
      </c>
      <c r="F397" s="552">
        <v>0</v>
      </c>
      <c r="G397" s="1445">
        <f t="shared" si="68"/>
        <v>0</v>
      </c>
    </row>
    <row r="398" spans="1:7" ht="18" hidden="1" customHeight="1" thickBot="1">
      <c r="A398" s="548"/>
      <c r="B398" s="559" t="s">
        <v>644</v>
      </c>
      <c r="C398" s="560"/>
      <c r="D398" s="561" t="s">
        <v>238</v>
      </c>
      <c r="E398" s="580">
        <f t="shared" ref="E398:F400" si="77">E399</f>
        <v>1100000</v>
      </c>
      <c r="F398" s="580">
        <f t="shared" si="77"/>
        <v>0</v>
      </c>
      <c r="G398" s="1559">
        <f t="shared" si="68"/>
        <v>0</v>
      </c>
    </row>
    <row r="399" spans="1:7" ht="18" hidden="1" customHeight="1">
      <c r="A399" s="548"/>
      <c r="B399" s="575"/>
      <c r="C399" s="2790" t="s">
        <v>470</v>
      </c>
      <c r="D399" s="2790"/>
      <c r="E399" s="579">
        <f t="shared" si="77"/>
        <v>1100000</v>
      </c>
      <c r="F399" s="579">
        <f t="shared" si="77"/>
        <v>0</v>
      </c>
      <c r="G399" s="1438">
        <f t="shared" si="68"/>
        <v>0</v>
      </c>
    </row>
    <row r="400" spans="1:7" ht="18" hidden="1" customHeight="1">
      <c r="A400" s="548"/>
      <c r="B400" s="575"/>
      <c r="C400" s="2833" t="s">
        <v>567</v>
      </c>
      <c r="D400" s="2833"/>
      <c r="E400" s="1560">
        <f t="shared" si="77"/>
        <v>1100000</v>
      </c>
      <c r="F400" s="1560">
        <f t="shared" si="77"/>
        <v>0</v>
      </c>
      <c r="G400" s="1561">
        <f t="shared" si="68"/>
        <v>0</v>
      </c>
    </row>
    <row r="401" spans="1:7" ht="38.25" hidden="1" customHeight="1" thickBot="1">
      <c r="A401" s="548"/>
      <c r="B401" s="575"/>
      <c r="C401" s="1562" t="s">
        <v>277</v>
      </c>
      <c r="D401" s="1563" t="s">
        <v>620</v>
      </c>
      <c r="E401" s="1552">
        <v>1100000</v>
      </c>
      <c r="F401" s="1552">
        <v>0</v>
      </c>
      <c r="G401" s="1437">
        <f t="shared" si="68"/>
        <v>0</v>
      </c>
    </row>
    <row r="402" spans="1:7" ht="15.75" hidden="1" customHeight="1">
      <c r="A402" s="548"/>
      <c r="B402" s="746"/>
      <c r="C402" s="2834" t="s">
        <v>523</v>
      </c>
      <c r="D402" s="2835"/>
      <c r="E402" s="551">
        <f>E403</f>
        <v>0</v>
      </c>
      <c r="F402" s="551">
        <f t="shared" ref="F402:F403" si="78">F403</f>
        <v>0</v>
      </c>
      <c r="G402" s="1438" t="e">
        <f t="shared" si="68"/>
        <v>#DIV/0!</v>
      </c>
    </row>
    <row r="403" spans="1:7" ht="15.75" hidden="1" customHeight="1">
      <c r="A403" s="548"/>
      <c r="B403" s="746"/>
      <c r="C403" s="2825" t="s">
        <v>641</v>
      </c>
      <c r="D403" s="2825"/>
      <c r="E403" s="1564">
        <f>E404</f>
        <v>0</v>
      </c>
      <c r="F403" s="1564">
        <f t="shared" si="78"/>
        <v>0</v>
      </c>
      <c r="G403" s="1561" t="e">
        <f t="shared" si="68"/>
        <v>#DIV/0!</v>
      </c>
    </row>
    <row r="404" spans="1:7" ht="42" hidden="1" customHeight="1" thickBot="1">
      <c r="A404" s="548"/>
      <c r="B404" s="746"/>
      <c r="C404" s="1514" t="s">
        <v>642</v>
      </c>
      <c r="D404" s="1558" t="s">
        <v>643</v>
      </c>
      <c r="E404" s="552">
        <v>0</v>
      </c>
      <c r="F404" s="552">
        <v>0</v>
      </c>
      <c r="G404" s="1445" t="e">
        <f t="shared" si="68"/>
        <v>#DIV/0!</v>
      </c>
    </row>
    <row r="405" spans="1:7" ht="18.75" customHeight="1" thickBot="1">
      <c r="A405" s="548"/>
      <c r="B405" s="559" t="s">
        <v>645</v>
      </c>
      <c r="C405" s="560"/>
      <c r="D405" s="561" t="s">
        <v>239</v>
      </c>
      <c r="E405" s="562">
        <f>E406+E419</f>
        <v>6681218</v>
      </c>
      <c r="F405" s="562">
        <f t="shared" ref="F405" si="79">F406+F419</f>
        <v>660260</v>
      </c>
      <c r="G405" s="1478">
        <f t="shared" si="68"/>
        <v>9.8823298386611538E-2</v>
      </c>
    </row>
    <row r="406" spans="1:7" ht="17.100000000000001" customHeight="1">
      <c r="A406" s="548"/>
      <c r="B406" s="2771"/>
      <c r="C406" s="2790" t="s">
        <v>470</v>
      </c>
      <c r="D406" s="2790"/>
      <c r="E406" s="549">
        <f t="shared" ref="E406:F406" si="80">E407</f>
        <v>661218</v>
      </c>
      <c r="F406" s="549">
        <f t="shared" si="80"/>
        <v>660260</v>
      </c>
      <c r="G406" s="1424">
        <f t="shared" si="68"/>
        <v>0.99855115861939636</v>
      </c>
    </row>
    <row r="407" spans="1:7" ht="17.100000000000001" customHeight="1">
      <c r="A407" s="548"/>
      <c r="B407" s="2771"/>
      <c r="C407" s="2820" t="s">
        <v>471</v>
      </c>
      <c r="D407" s="2820"/>
      <c r="E407" s="1436">
        <f>E408+E414</f>
        <v>661218</v>
      </c>
      <c r="F407" s="1436">
        <f t="shared" ref="F407" si="81">F408+F414</f>
        <v>660260</v>
      </c>
      <c r="G407" s="1437">
        <f t="shared" si="68"/>
        <v>0.99855115861939636</v>
      </c>
    </row>
    <row r="408" spans="1:7" ht="17.100000000000001" customHeight="1">
      <c r="A408" s="548"/>
      <c r="B408" s="2771"/>
      <c r="C408" s="2821" t="s">
        <v>472</v>
      </c>
      <c r="D408" s="2821"/>
      <c r="E408" s="1461">
        <f>SUM(E409:E412)</f>
        <v>493079</v>
      </c>
      <c r="F408" s="1461">
        <f>SUM(F409:F412)</f>
        <v>554992</v>
      </c>
      <c r="G408" s="1462">
        <f t="shared" si="68"/>
        <v>1.1255640576864965</v>
      </c>
    </row>
    <row r="409" spans="1:7" ht="17.100000000000001" customHeight="1">
      <c r="A409" s="548"/>
      <c r="B409" s="2771"/>
      <c r="C409" s="1565" t="s">
        <v>473</v>
      </c>
      <c r="D409" s="1566" t="s">
        <v>474</v>
      </c>
      <c r="E409" s="1436">
        <v>408077</v>
      </c>
      <c r="F409" s="1436">
        <v>433876</v>
      </c>
      <c r="G409" s="1437">
        <f t="shared" si="68"/>
        <v>1.0632209117396962</v>
      </c>
    </row>
    <row r="410" spans="1:7" ht="17.100000000000001" customHeight="1">
      <c r="A410" s="548"/>
      <c r="B410" s="2771"/>
      <c r="C410" s="1565" t="s">
        <v>475</v>
      </c>
      <c r="D410" s="1566" t="s">
        <v>476</v>
      </c>
      <c r="E410" s="1436">
        <v>30662</v>
      </c>
      <c r="F410" s="1436">
        <v>34159</v>
      </c>
      <c r="G410" s="1437">
        <f t="shared" si="68"/>
        <v>1.1140499641249755</v>
      </c>
    </row>
    <row r="411" spans="1:7" ht="17.100000000000001" customHeight="1">
      <c r="A411" s="548"/>
      <c r="B411" s="2771"/>
      <c r="C411" s="1565" t="s">
        <v>477</v>
      </c>
      <c r="D411" s="1566" t="s">
        <v>478</v>
      </c>
      <c r="E411" s="1436">
        <v>47722</v>
      </c>
      <c r="F411" s="1436">
        <v>75000</v>
      </c>
      <c r="G411" s="1437">
        <f t="shared" si="68"/>
        <v>1.5716021960521354</v>
      </c>
    </row>
    <row r="412" spans="1:7" ht="25.5">
      <c r="A412" s="548"/>
      <c r="B412" s="2771"/>
      <c r="C412" s="1567" t="s">
        <v>479</v>
      </c>
      <c r="D412" s="1568" t="s">
        <v>1028</v>
      </c>
      <c r="E412" s="1436">
        <v>6618</v>
      </c>
      <c r="F412" s="1436">
        <v>11957</v>
      </c>
      <c r="G412" s="1437">
        <f t="shared" si="68"/>
        <v>1.8067391961317618</v>
      </c>
    </row>
    <row r="413" spans="1:7" ht="17.100000000000001" customHeight="1">
      <c r="A413" s="548"/>
      <c r="B413" s="2771"/>
      <c r="C413" s="1569"/>
      <c r="D413" s="1569"/>
      <c r="E413" s="1436"/>
      <c r="F413" s="1436"/>
      <c r="G413" s="1437"/>
    </row>
    <row r="414" spans="1:7" ht="17.100000000000001" customHeight="1">
      <c r="A414" s="548"/>
      <c r="B414" s="2771"/>
      <c r="C414" s="2822" t="s">
        <v>483</v>
      </c>
      <c r="D414" s="2822"/>
      <c r="E414" s="1461">
        <f>SUM(E415:E417)</f>
        <v>168139</v>
      </c>
      <c r="F414" s="1461">
        <f>SUM(F415:F417)</f>
        <v>105268</v>
      </c>
      <c r="G414" s="1462">
        <f t="shared" si="68"/>
        <v>0.62607723371734103</v>
      </c>
    </row>
    <row r="415" spans="1:7" ht="17.100000000000001" customHeight="1">
      <c r="A415" s="548"/>
      <c r="B415" s="2771"/>
      <c r="C415" s="1567" t="s">
        <v>484</v>
      </c>
      <c r="D415" s="1570" t="s">
        <v>485</v>
      </c>
      <c r="E415" s="1564">
        <v>8139</v>
      </c>
      <c r="F415" s="1564">
        <v>15100</v>
      </c>
      <c r="G415" s="1561">
        <f t="shared" si="68"/>
        <v>1.855264774542327</v>
      </c>
    </row>
    <row r="416" spans="1:7" ht="17.100000000000001" customHeight="1">
      <c r="A416" s="548"/>
      <c r="B416" s="2771"/>
      <c r="C416" s="1514" t="s">
        <v>496</v>
      </c>
      <c r="D416" s="1558" t="s">
        <v>497</v>
      </c>
      <c r="E416" s="1564">
        <v>160000</v>
      </c>
      <c r="F416" s="1564">
        <v>80000</v>
      </c>
      <c r="G416" s="1561">
        <f t="shared" si="68"/>
        <v>0.5</v>
      </c>
    </row>
    <row r="417" spans="1:7" ht="17.100000000000001" customHeight="1" thickBot="1">
      <c r="A417" s="548"/>
      <c r="B417" s="741"/>
      <c r="C417" s="1571" t="s">
        <v>508</v>
      </c>
      <c r="D417" s="1572" t="s">
        <v>509</v>
      </c>
      <c r="E417" s="1564">
        <v>0</v>
      </c>
      <c r="F417" s="1436">
        <v>10168</v>
      </c>
      <c r="G417" s="1561"/>
    </row>
    <row r="418" spans="1:7" ht="17.100000000000001" hidden="1" customHeight="1" thickBot="1">
      <c r="A418" s="548"/>
      <c r="B418" s="741"/>
      <c r="C418" s="1573"/>
      <c r="D418" s="1572"/>
      <c r="E418" s="1564"/>
      <c r="F418" s="1564"/>
      <c r="G418" s="1561"/>
    </row>
    <row r="419" spans="1:7" ht="17.100000000000001" hidden="1" customHeight="1">
      <c r="A419" s="548"/>
      <c r="B419" s="741"/>
      <c r="C419" s="2826" t="s">
        <v>523</v>
      </c>
      <c r="D419" s="2827"/>
      <c r="E419" s="1484">
        <f>E420+E423</f>
        <v>6020000</v>
      </c>
      <c r="F419" s="1484">
        <f>F420+F423</f>
        <v>0</v>
      </c>
      <c r="G419" s="1485">
        <f t="shared" si="68"/>
        <v>0</v>
      </c>
    </row>
    <row r="420" spans="1:7" ht="17.100000000000001" hidden="1" customHeight="1">
      <c r="A420" s="548"/>
      <c r="B420" s="741"/>
      <c r="C420" s="2825" t="s">
        <v>641</v>
      </c>
      <c r="D420" s="2825"/>
      <c r="E420" s="1436">
        <f>E421</f>
        <v>20000</v>
      </c>
      <c r="F420" s="1436">
        <f t="shared" ref="F420" si="82">F421</f>
        <v>0</v>
      </c>
      <c r="G420" s="1437">
        <f t="shared" si="68"/>
        <v>0</v>
      </c>
    </row>
    <row r="421" spans="1:7" ht="42.75" hidden="1" customHeight="1">
      <c r="A421" s="548"/>
      <c r="B421" s="741"/>
      <c r="C421" s="1514" t="s">
        <v>642</v>
      </c>
      <c r="D421" s="1558" t="s">
        <v>643</v>
      </c>
      <c r="E421" s="551">
        <v>20000</v>
      </c>
      <c r="F421" s="551">
        <v>0</v>
      </c>
      <c r="G421" s="1438">
        <f t="shared" si="68"/>
        <v>0</v>
      </c>
    </row>
    <row r="422" spans="1:7" ht="18" hidden="1" customHeight="1">
      <c r="A422" s="548"/>
      <c r="B422" s="741"/>
      <c r="C422" s="2828"/>
      <c r="D422" s="2829"/>
      <c r="E422" s="1436"/>
      <c r="F422" s="1436"/>
      <c r="G422" s="1437"/>
    </row>
    <row r="423" spans="1:7" ht="18" hidden="1" customHeight="1">
      <c r="A423" s="548"/>
      <c r="B423" s="741"/>
      <c r="C423" s="2830" t="s">
        <v>723</v>
      </c>
      <c r="D423" s="2831"/>
      <c r="E423" s="1574">
        <f>E424</f>
        <v>6000000</v>
      </c>
      <c r="F423" s="1574">
        <f t="shared" ref="F423" si="83">F424</f>
        <v>0</v>
      </c>
      <c r="G423" s="1534">
        <f t="shared" ref="G423:G424" si="84">F423/E423</f>
        <v>0</v>
      </c>
    </row>
    <row r="424" spans="1:7" ht="40.5" hidden="1" customHeight="1" thickBot="1">
      <c r="A424" s="548"/>
      <c r="B424" s="741"/>
      <c r="C424" s="1575" t="s">
        <v>724</v>
      </c>
      <c r="D424" s="1576" t="s">
        <v>725</v>
      </c>
      <c r="E424" s="1574">
        <v>6000000</v>
      </c>
      <c r="F424" s="1574">
        <v>0</v>
      </c>
      <c r="G424" s="1534">
        <f t="shared" si="84"/>
        <v>0</v>
      </c>
    </row>
    <row r="425" spans="1:7" ht="17.100000000000001" customHeight="1" thickBot="1">
      <c r="A425" s="545" t="s">
        <v>114</v>
      </c>
      <c r="B425" s="565"/>
      <c r="C425" s="566"/>
      <c r="D425" s="567" t="s">
        <v>646</v>
      </c>
      <c r="E425" s="568">
        <f>E426+E455</f>
        <v>1223719</v>
      </c>
      <c r="F425" s="568">
        <f>F426+F455</f>
        <v>2662378</v>
      </c>
      <c r="G425" s="1499">
        <f t="shared" si="68"/>
        <v>2.175644898869757</v>
      </c>
    </row>
    <row r="426" spans="1:7" ht="17.100000000000001" customHeight="1" thickBot="1">
      <c r="A426" s="548"/>
      <c r="B426" s="559" t="s">
        <v>115</v>
      </c>
      <c r="C426" s="560"/>
      <c r="D426" s="561" t="s">
        <v>284</v>
      </c>
      <c r="E426" s="562">
        <f>E427+E452</f>
        <v>887199</v>
      </c>
      <c r="F426" s="562">
        <f>F427+F452</f>
        <v>1093331</v>
      </c>
      <c r="G426" s="1478">
        <f t="shared" si="68"/>
        <v>1.232340207777511</v>
      </c>
    </row>
    <row r="427" spans="1:7" ht="17.100000000000001" customHeight="1">
      <c r="A427" s="548"/>
      <c r="B427" s="746"/>
      <c r="C427" s="2790" t="s">
        <v>470</v>
      </c>
      <c r="D427" s="2790"/>
      <c r="E427" s="549">
        <f>E428+E432+E435</f>
        <v>887199</v>
      </c>
      <c r="F427" s="549">
        <f>F428+F432+F435</f>
        <v>1093331</v>
      </c>
      <c r="G427" s="1424">
        <f t="shared" ref="G427:G533" si="85">F427/E427</f>
        <v>1.232340207777511</v>
      </c>
    </row>
    <row r="428" spans="1:7" ht="17.100000000000001" customHeight="1">
      <c r="A428" s="548"/>
      <c r="B428" s="746"/>
      <c r="C428" s="2832" t="s">
        <v>471</v>
      </c>
      <c r="D428" s="2832"/>
      <c r="E428" s="1533">
        <f t="shared" ref="E428:F429" si="86">E429</f>
        <v>600000</v>
      </c>
      <c r="F428" s="1533">
        <f t="shared" si="86"/>
        <v>600000</v>
      </c>
      <c r="G428" s="1534">
        <f t="shared" si="85"/>
        <v>1</v>
      </c>
    </row>
    <row r="429" spans="1:7" ht="17.100000000000001" customHeight="1">
      <c r="A429" s="548"/>
      <c r="B429" s="746"/>
      <c r="C429" s="2844" t="s">
        <v>483</v>
      </c>
      <c r="D429" s="2844"/>
      <c r="E429" s="1577">
        <f t="shared" si="86"/>
        <v>600000</v>
      </c>
      <c r="F429" s="1577">
        <f t="shared" si="86"/>
        <v>600000</v>
      </c>
      <c r="G429" s="1578">
        <f t="shared" si="85"/>
        <v>1</v>
      </c>
    </row>
    <row r="430" spans="1:7" ht="17.100000000000001" customHeight="1">
      <c r="A430" s="548"/>
      <c r="B430" s="746"/>
      <c r="C430" s="1565" t="s">
        <v>506</v>
      </c>
      <c r="D430" s="1566" t="s">
        <v>507</v>
      </c>
      <c r="E430" s="1436">
        <v>600000</v>
      </c>
      <c r="F430" s="1436">
        <v>600000</v>
      </c>
      <c r="G430" s="1437">
        <f t="shared" si="85"/>
        <v>1</v>
      </c>
    </row>
    <row r="431" spans="1:7" ht="17.100000000000001" customHeight="1">
      <c r="A431" s="548"/>
      <c r="B431" s="746"/>
      <c r="C431" s="1579"/>
      <c r="D431" s="1580"/>
      <c r="E431" s="1436"/>
      <c r="F431" s="1436"/>
      <c r="G431" s="1437"/>
    </row>
    <row r="432" spans="1:7" ht="17.100000000000001" customHeight="1">
      <c r="A432" s="548"/>
      <c r="B432" s="746"/>
      <c r="C432" s="2845" t="s">
        <v>567</v>
      </c>
      <c r="D432" s="2845"/>
      <c r="E432" s="1436">
        <f t="shared" ref="E432:F432" si="87">E433</f>
        <v>100000</v>
      </c>
      <c r="F432" s="1436">
        <f t="shared" si="87"/>
        <v>250000</v>
      </c>
      <c r="G432" s="1437">
        <f t="shared" si="85"/>
        <v>2.5</v>
      </c>
    </row>
    <row r="433" spans="1:7" ht="48.75" customHeight="1">
      <c r="A433" s="548"/>
      <c r="B433" s="746"/>
      <c r="C433" s="1565" t="s">
        <v>582</v>
      </c>
      <c r="D433" s="1566" t="s">
        <v>647</v>
      </c>
      <c r="E433" s="1436">
        <v>100000</v>
      </c>
      <c r="F433" s="1436">
        <v>250000</v>
      </c>
      <c r="G433" s="1437">
        <f t="shared" si="85"/>
        <v>2.5</v>
      </c>
    </row>
    <row r="434" spans="1:7">
      <c r="A434" s="548"/>
      <c r="B434" s="746"/>
      <c r="C434" s="1581"/>
      <c r="D434" s="1582"/>
      <c r="E434" s="1564"/>
      <c r="F434" s="1436"/>
      <c r="G434" s="1437"/>
    </row>
    <row r="435" spans="1:7" ht="18" customHeight="1">
      <c r="A435" s="548"/>
      <c r="B435" s="746"/>
      <c r="C435" s="2832" t="s">
        <v>536</v>
      </c>
      <c r="D435" s="2832"/>
      <c r="E435" s="1436">
        <f>SUM(E436:E450)</f>
        <v>187199</v>
      </c>
      <c r="F435" s="1436">
        <f>SUM(F436:F450)</f>
        <v>243331</v>
      </c>
      <c r="G435" s="1437">
        <f t="shared" si="85"/>
        <v>1.2998520291240871</v>
      </c>
    </row>
    <row r="436" spans="1:7" ht="18" customHeight="1">
      <c r="A436" s="548"/>
      <c r="B436" s="746"/>
      <c r="C436" s="1565" t="s">
        <v>540</v>
      </c>
      <c r="D436" s="1566" t="s">
        <v>474</v>
      </c>
      <c r="E436" s="1436">
        <v>11916</v>
      </c>
      <c r="F436" s="1436">
        <v>15845</v>
      </c>
      <c r="G436" s="1437">
        <f t="shared" si="85"/>
        <v>1.3297247398455858</v>
      </c>
    </row>
    <row r="437" spans="1:7" ht="18" customHeight="1">
      <c r="A437" s="548"/>
      <c r="B437" s="746"/>
      <c r="C437" s="1565" t="s">
        <v>541</v>
      </c>
      <c r="D437" s="1566" t="s">
        <v>474</v>
      </c>
      <c r="E437" s="1436">
        <v>2103</v>
      </c>
      <c r="F437" s="1436">
        <v>2796</v>
      </c>
      <c r="G437" s="1437">
        <f t="shared" si="85"/>
        <v>1.3295292439372326</v>
      </c>
    </row>
    <row r="438" spans="1:7" ht="18" customHeight="1">
      <c r="A438" s="548"/>
      <c r="B438" s="746"/>
      <c r="C438" s="1565" t="s">
        <v>544</v>
      </c>
      <c r="D438" s="1566" t="s">
        <v>478</v>
      </c>
      <c r="E438" s="1436">
        <v>2072</v>
      </c>
      <c r="F438" s="1436">
        <v>2747</v>
      </c>
      <c r="G438" s="1437">
        <f t="shared" si="85"/>
        <v>1.3257722007722008</v>
      </c>
    </row>
    <row r="439" spans="1:7" ht="18" customHeight="1">
      <c r="A439" s="548"/>
      <c r="B439" s="746"/>
      <c r="C439" s="1565" t="s">
        <v>545</v>
      </c>
      <c r="D439" s="1566" t="s">
        <v>478</v>
      </c>
      <c r="E439" s="1436">
        <v>365</v>
      </c>
      <c r="F439" s="1436">
        <v>484</v>
      </c>
      <c r="G439" s="1437">
        <f t="shared" si="85"/>
        <v>1.3260273972602741</v>
      </c>
    </row>
    <row r="440" spans="1:7" ht="28.5" customHeight="1">
      <c r="A440" s="548"/>
      <c r="B440" s="746"/>
      <c r="C440" s="1565" t="s">
        <v>546</v>
      </c>
      <c r="D440" s="1566" t="s">
        <v>1028</v>
      </c>
      <c r="E440" s="1436">
        <v>291</v>
      </c>
      <c r="F440" s="1436">
        <v>387</v>
      </c>
      <c r="G440" s="1437">
        <f t="shared" si="85"/>
        <v>1.3298969072164948</v>
      </c>
    </row>
    <row r="441" spans="1:7" ht="28.5" customHeight="1">
      <c r="A441" s="548"/>
      <c r="B441" s="746"/>
      <c r="C441" s="1565" t="s">
        <v>547</v>
      </c>
      <c r="D441" s="1566" t="s">
        <v>1028</v>
      </c>
      <c r="E441" s="1436">
        <v>52</v>
      </c>
      <c r="F441" s="1436">
        <v>69</v>
      </c>
      <c r="G441" s="1437">
        <f t="shared" si="85"/>
        <v>1.3269230769230769</v>
      </c>
    </row>
    <row r="442" spans="1:7" ht="18" customHeight="1">
      <c r="A442" s="548"/>
      <c r="B442" s="746"/>
      <c r="C442" s="1565" t="s">
        <v>557</v>
      </c>
      <c r="D442" s="1566" t="s">
        <v>497</v>
      </c>
      <c r="E442" s="1436">
        <v>100988</v>
      </c>
      <c r="F442" s="1436">
        <v>126488</v>
      </c>
      <c r="G442" s="1437">
        <f t="shared" si="85"/>
        <v>1.2525052481482948</v>
      </c>
    </row>
    <row r="443" spans="1:7" ht="18" customHeight="1">
      <c r="A443" s="548"/>
      <c r="B443" s="746"/>
      <c r="C443" s="1565" t="s">
        <v>558</v>
      </c>
      <c r="D443" s="1566" t="s">
        <v>497</v>
      </c>
      <c r="E443" s="1436">
        <v>17821</v>
      </c>
      <c r="F443" s="1436">
        <v>22321</v>
      </c>
      <c r="G443" s="1437">
        <f t="shared" si="85"/>
        <v>1.2525110824308401</v>
      </c>
    </row>
    <row r="444" spans="1:7" ht="18" customHeight="1">
      <c r="A444" s="548"/>
      <c r="B444" s="746"/>
      <c r="C444" s="1565" t="s">
        <v>675</v>
      </c>
      <c r="D444" s="1566" t="s">
        <v>649</v>
      </c>
      <c r="E444" s="1436">
        <v>32802</v>
      </c>
      <c r="F444" s="1436">
        <v>43514</v>
      </c>
      <c r="G444" s="1437">
        <f t="shared" si="85"/>
        <v>1.3265654533260167</v>
      </c>
    </row>
    <row r="445" spans="1:7" ht="18" customHeight="1">
      <c r="A445" s="548"/>
      <c r="B445" s="746"/>
      <c r="C445" s="1565" t="s">
        <v>648</v>
      </c>
      <c r="D445" s="1566" t="s">
        <v>649</v>
      </c>
      <c r="E445" s="1436">
        <v>5789</v>
      </c>
      <c r="F445" s="1436">
        <v>7680</v>
      </c>
      <c r="G445" s="1437">
        <f t="shared" si="85"/>
        <v>1.3266539989635515</v>
      </c>
    </row>
    <row r="446" spans="1:7" ht="18" hidden="1" customHeight="1">
      <c r="A446" s="548"/>
      <c r="B446" s="746"/>
      <c r="C446" s="1565" t="s">
        <v>560</v>
      </c>
      <c r="D446" s="1566" t="s">
        <v>501</v>
      </c>
      <c r="E446" s="1436"/>
      <c r="F446" s="1436"/>
      <c r="G446" s="1437"/>
    </row>
    <row r="447" spans="1:7" ht="18" customHeight="1">
      <c r="A447" s="548"/>
      <c r="B447" s="746"/>
      <c r="C447" s="1565" t="s">
        <v>561</v>
      </c>
      <c r="D447" s="1566" t="s">
        <v>505</v>
      </c>
      <c r="E447" s="1436">
        <v>2550</v>
      </c>
      <c r="F447" s="1436">
        <v>5100</v>
      </c>
      <c r="G447" s="1437">
        <f t="shared" si="85"/>
        <v>2</v>
      </c>
    </row>
    <row r="448" spans="1:7" ht="18" customHeight="1">
      <c r="A448" s="548"/>
      <c r="B448" s="746"/>
      <c r="C448" s="1565" t="s">
        <v>562</v>
      </c>
      <c r="D448" s="1566" t="s">
        <v>505</v>
      </c>
      <c r="E448" s="1436">
        <v>450</v>
      </c>
      <c r="F448" s="1436">
        <v>900</v>
      </c>
      <c r="G448" s="1437">
        <f t="shared" si="85"/>
        <v>2</v>
      </c>
    </row>
    <row r="449" spans="1:7" ht="18" customHeight="1">
      <c r="A449" s="548"/>
      <c r="B449" s="746"/>
      <c r="C449" s="1565" t="s">
        <v>650</v>
      </c>
      <c r="D449" s="1566" t="s">
        <v>631</v>
      </c>
      <c r="E449" s="1436">
        <v>8500</v>
      </c>
      <c r="F449" s="1436">
        <v>12750</v>
      </c>
      <c r="G449" s="1437">
        <f t="shared" si="85"/>
        <v>1.5</v>
      </c>
    </row>
    <row r="450" spans="1:7" ht="18" customHeight="1" thickBot="1">
      <c r="A450" s="548"/>
      <c r="B450" s="746"/>
      <c r="C450" s="1565" t="s">
        <v>651</v>
      </c>
      <c r="D450" s="1566" t="s">
        <v>631</v>
      </c>
      <c r="E450" s="1436">
        <v>1500</v>
      </c>
      <c r="F450" s="552">
        <v>2250</v>
      </c>
      <c r="G450" s="1437">
        <f t="shared" si="85"/>
        <v>1.5</v>
      </c>
    </row>
    <row r="451" spans="1:7" ht="18" hidden="1" customHeight="1">
      <c r="A451" s="548"/>
      <c r="B451" s="746"/>
      <c r="C451" s="2846"/>
      <c r="D451" s="2847"/>
      <c r="E451" s="1436"/>
      <c r="F451" s="1583"/>
      <c r="G451" s="1437"/>
    </row>
    <row r="452" spans="1:7" ht="16.5" hidden="1" customHeight="1">
      <c r="A452" s="548"/>
      <c r="B452" s="746"/>
      <c r="C452" s="2826" t="s">
        <v>523</v>
      </c>
      <c r="D452" s="2827"/>
      <c r="E452" s="1564">
        <f>E453</f>
        <v>0</v>
      </c>
      <c r="F452" s="1564">
        <f t="shared" ref="F452:F453" si="88">F453</f>
        <v>0</v>
      </c>
      <c r="G452" s="1561" t="e">
        <f t="shared" si="85"/>
        <v>#DIV/0!</v>
      </c>
    </row>
    <row r="453" spans="1:7" ht="16.5" hidden="1" customHeight="1">
      <c r="A453" s="548"/>
      <c r="B453" s="746"/>
      <c r="C453" s="2825" t="s">
        <v>641</v>
      </c>
      <c r="D453" s="2825"/>
      <c r="E453" s="1436">
        <f>E454</f>
        <v>0</v>
      </c>
      <c r="F453" s="1436">
        <f t="shared" si="88"/>
        <v>0</v>
      </c>
      <c r="G453" s="1437" t="e">
        <f t="shared" si="85"/>
        <v>#DIV/0!</v>
      </c>
    </row>
    <row r="454" spans="1:7" ht="39" hidden="1" thickBot="1">
      <c r="A454" s="548"/>
      <c r="B454" s="746"/>
      <c r="C454" s="1584" t="s">
        <v>642</v>
      </c>
      <c r="D454" s="1585" t="s">
        <v>643</v>
      </c>
      <c r="E454" s="552"/>
      <c r="F454" s="552">
        <v>0</v>
      </c>
      <c r="G454" s="1445" t="e">
        <f t="shared" si="85"/>
        <v>#DIV/0!</v>
      </c>
    </row>
    <row r="455" spans="1:7" ht="17.100000000000001" customHeight="1" thickBot="1">
      <c r="A455" s="548"/>
      <c r="B455" s="559" t="s">
        <v>652</v>
      </c>
      <c r="C455" s="560"/>
      <c r="D455" s="561" t="s">
        <v>239</v>
      </c>
      <c r="E455" s="562">
        <f>SUM(E456+E493)</f>
        <v>336520</v>
      </c>
      <c r="F455" s="562">
        <f>SUM(F456+F493)</f>
        <v>1569047</v>
      </c>
      <c r="G455" s="1478">
        <f t="shared" si="85"/>
        <v>4.6625668608106503</v>
      </c>
    </row>
    <row r="456" spans="1:7" ht="17.100000000000001" customHeight="1">
      <c r="A456" s="548"/>
      <c r="B456" s="2780"/>
      <c r="C456" s="2836" t="s">
        <v>470</v>
      </c>
      <c r="D456" s="2837"/>
      <c r="E456" s="581">
        <f>E457+E473+E476</f>
        <v>326520</v>
      </c>
      <c r="F456" s="581">
        <f>F457+F473+F476</f>
        <v>1569047</v>
      </c>
      <c r="G456" s="1586">
        <f t="shared" si="85"/>
        <v>4.8053626117848829</v>
      </c>
    </row>
    <row r="457" spans="1:7" ht="16.5" customHeight="1">
      <c r="A457" s="548"/>
      <c r="B457" s="2781"/>
      <c r="C457" s="2838" t="s">
        <v>471</v>
      </c>
      <c r="D457" s="2839"/>
      <c r="E457" s="1552">
        <f>E458+E465</f>
        <v>306520</v>
      </c>
      <c r="F457" s="1552">
        <f>F458+F465</f>
        <v>421425</v>
      </c>
      <c r="G457" s="1553">
        <f t="shared" si="85"/>
        <v>1.3748695028056896</v>
      </c>
    </row>
    <row r="458" spans="1:7" ht="16.5" customHeight="1">
      <c r="A458" s="548"/>
      <c r="B458" s="2781"/>
      <c r="C458" s="2840" t="s">
        <v>472</v>
      </c>
      <c r="D458" s="2840"/>
      <c r="E458" s="1461">
        <f>SUM(E459:E463)</f>
        <v>281756</v>
      </c>
      <c r="F458" s="1461">
        <f>SUM(F459:F463)</f>
        <v>363770</v>
      </c>
      <c r="G458" s="1462">
        <f t="shared" si="85"/>
        <v>1.2910816451113729</v>
      </c>
    </row>
    <row r="459" spans="1:7" ht="16.5" customHeight="1">
      <c r="A459" s="548"/>
      <c r="B459" s="2781"/>
      <c r="C459" s="1565" t="s">
        <v>473</v>
      </c>
      <c r="D459" s="1566" t="s">
        <v>474</v>
      </c>
      <c r="E459" s="1436">
        <v>222230</v>
      </c>
      <c r="F459" s="1436">
        <v>290472</v>
      </c>
      <c r="G459" s="1437">
        <f t="shared" si="85"/>
        <v>1.3070782522611708</v>
      </c>
    </row>
    <row r="460" spans="1:7" ht="16.5" customHeight="1">
      <c r="A460" s="548"/>
      <c r="B460" s="2781"/>
      <c r="C460" s="1565" t="s">
        <v>475</v>
      </c>
      <c r="D460" s="1566" t="s">
        <v>476</v>
      </c>
      <c r="E460" s="1436">
        <v>15733</v>
      </c>
      <c r="F460" s="1436">
        <v>20340</v>
      </c>
      <c r="G460" s="1437">
        <f t="shared" si="85"/>
        <v>1.2928240005084854</v>
      </c>
    </row>
    <row r="461" spans="1:7" ht="16.5" customHeight="1">
      <c r="A461" s="548"/>
      <c r="B461" s="2781"/>
      <c r="C461" s="1565" t="s">
        <v>477</v>
      </c>
      <c r="D461" s="1566" t="s">
        <v>478</v>
      </c>
      <c r="E461" s="1436">
        <v>38383</v>
      </c>
      <c r="F461" s="1436">
        <v>45000</v>
      </c>
      <c r="G461" s="1437">
        <f t="shared" si="85"/>
        <v>1.1723940286064143</v>
      </c>
    </row>
    <row r="462" spans="1:7" ht="27.75" customHeight="1">
      <c r="A462" s="548"/>
      <c r="B462" s="2781"/>
      <c r="C462" s="1587" t="s">
        <v>479</v>
      </c>
      <c r="D462" s="1580" t="s">
        <v>1028</v>
      </c>
      <c r="E462" s="1436">
        <v>5410</v>
      </c>
      <c r="F462" s="1436">
        <v>7958</v>
      </c>
      <c r="G462" s="1437">
        <f t="shared" si="85"/>
        <v>1.4709796672828097</v>
      </c>
    </row>
    <row r="463" spans="1:7" ht="16.5" hidden="1" customHeight="1">
      <c r="A463" s="548"/>
      <c r="B463" s="2781"/>
      <c r="C463" s="1587" t="s">
        <v>481</v>
      </c>
      <c r="D463" s="1580" t="s">
        <v>482</v>
      </c>
      <c r="E463" s="1436"/>
      <c r="F463" s="1436"/>
      <c r="G463" s="1437" t="e">
        <f t="shared" si="85"/>
        <v>#DIV/0!</v>
      </c>
    </row>
    <row r="464" spans="1:7" ht="16.5" customHeight="1">
      <c r="A464" s="548"/>
      <c r="B464" s="2781"/>
      <c r="C464" s="2841"/>
      <c r="D464" s="2842"/>
      <c r="E464" s="1552"/>
      <c r="F464" s="1552"/>
      <c r="G464" s="1553"/>
    </row>
    <row r="465" spans="1:7" ht="16.5" customHeight="1">
      <c r="A465" s="548"/>
      <c r="B465" s="2781"/>
      <c r="C465" s="2843" t="s">
        <v>483</v>
      </c>
      <c r="D465" s="2817"/>
      <c r="E465" s="1552">
        <f>SUM(E466:E471)</f>
        <v>24764</v>
      </c>
      <c r="F465" s="1552">
        <f>SUM(F466:F471)</f>
        <v>57655</v>
      </c>
      <c r="G465" s="1553">
        <f t="shared" si="85"/>
        <v>2.3281780003230494</v>
      </c>
    </row>
    <row r="466" spans="1:7" ht="16.5" customHeight="1">
      <c r="A466" s="548"/>
      <c r="B466" s="2781"/>
      <c r="C466" s="1588" t="s">
        <v>484</v>
      </c>
      <c r="D466" s="1582" t="s">
        <v>485</v>
      </c>
      <c r="E466" s="1589">
        <v>4764</v>
      </c>
      <c r="F466" s="1589">
        <v>11300</v>
      </c>
      <c r="G466" s="1590">
        <f t="shared" si="85"/>
        <v>2.3719563392107474</v>
      </c>
    </row>
    <row r="467" spans="1:7" ht="14.25" customHeight="1">
      <c r="A467" s="548"/>
      <c r="B467" s="2781"/>
      <c r="C467" s="715" t="s">
        <v>496</v>
      </c>
      <c r="D467" s="1591" t="s">
        <v>497</v>
      </c>
      <c r="E467" s="1589">
        <v>20000</v>
      </c>
      <c r="F467" s="1589">
        <f>20000+20000</f>
        <v>40000</v>
      </c>
      <c r="G467" s="1590">
        <f t="shared" si="85"/>
        <v>2</v>
      </c>
    </row>
    <row r="468" spans="1:7" ht="16.5" customHeight="1">
      <c r="A468" s="548"/>
      <c r="B468" s="742"/>
      <c r="C468" s="1592" t="s">
        <v>508</v>
      </c>
      <c r="D468" s="1591" t="s">
        <v>509</v>
      </c>
      <c r="E468" s="1589">
        <v>0</v>
      </c>
      <c r="F468" s="1589">
        <v>6355</v>
      </c>
      <c r="G468" s="1590"/>
    </row>
    <row r="469" spans="1:7" ht="17.25" hidden="1" customHeight="1">
      <c r="A469" s="548"/>
      <c r="B469" s="742"/>
      <c r="C469" s="1593" t="s">
        <v>632</v>
      </c>
      <c r="D469" s="1594" t="s">
        <v>633</v>
      </c>
      <c r="E469" s="1589"/>
      <c r="F469" s="1589">
        <v>0</v>
      </c>
      <c r="G469" s="1590" t="e">
        <f t="shared" si="85"/>
        <v>#DIV/0!</v>
      </c>
    </row>
    <row r="470" spans="1:7" ht="28.5" hidden="1" customHeight="1">
      <c r="A470" s="548"/>
      <c r="B470" s="742"/>
      <c r="C470" s="1595" t="s">
        <v>634</v>
      </c>
      <c r="D470" s="1594" t="s">
        <v>635</v>
      </c>
      <c r="E470" s="1589"/>
      <c r="F470" s="1589">
        <v>0</v>
      </c>
      <c r="G470" s="1590" t="e">
        <f t="shared" si="85"/>
        <v>#DIV/0!</v>
      </c>
    </row>
    <row r="471" spans="1:7" ht="21" hidden="1" customHeight="1">
      <c r="A471" s="548"/>
      <c r="B471" s="742"/>
      <c r="C471" s="1595" t="s">
        <v>580</v>
      </c>
      <c r="D471" s="1594" t="s">
        <v>581</v>
      </c>
      <c r="E471" s="1589"/>
      <c r="F471" s="1589">
        <v>0</v>
      </c>
      <c r="G471" s="1590" t="e">
        <f t="shared" si="85"/>
        <v>#DIV/0!</v>
      </c>
    </row>
    <row r="472" spans="1:7" ht="14.25" customHeight="1">
      <c r="A472" s="548"/>
      <c r="B472" s="742"/>
      <c r="C472" s="1596"/>
      <c r="D472" s="1597"/>
      <c r="E472" s="1589"/>
      <c r="F472" s="1589"/>
      <c r="G472" s="1590"/>
    </row>
    <row r="473" spans="1:7" ht="16.5" hidden="1" customHeight="1">
      <c r="A473" s="548"/>
      <c r="B473" s="742"/>
      <c r="C473" s="2849" t="s">
        <v>567</v>
      </c>
      <c r="D473" s="2849"/>
      <c r="E473" s="1552">
        <f>E474</f>
        <v>20000</v>
      </c>
      <c r="F473" s="1552">
        <f t="shared" ref="F473" si="89">F474</f>
        <v>0</v>
      </c>
      <c r="G473" s="1553">
        <f t="shared" si="85"/>
        <v>0</v>
      </c>
    </row>
    <row r="474" spans="1:7" ht="39.75" hidden="1" customHeight="1">
      <c r="A474" s="548"/>
      <c r="B474" s="742"/>
      <c r="C474" s="1598" t="s">
        <v>13</v>
      </c>
      <c r="D474" s="1599" t="s">
        <v>653</v>
      </c>
      <c r="E474" s="1589">
        <v>20000</v>
      </c>
      <c r="F474" s="1589">
        <v>0</v>
      </c>
      <c r="G474" s="1590">
        <f t="shared" si="85"/>
        <v>0</v>
      </c>
    </row>
    <row r="475" spans="1:7" ht="21" hidden="1" customHeight="1">
      <c r="A475" s="548"/>
      <c r="B475" s="742"/>
      <c r="C475" s="748"/>
      <c r="D475" s="745"/>
      <c r="E475" s="1589"/>
      <c r="F475" s="1589"/>
      <c r="G475" s="1590"/>
    </row>
    <row r="476" spans="1:7" ht="18.75" customHeight="1">
      <c r="A476" s="548"/>
      <c r="B476" s="742"/>
      <c r="C476" s="2854" t="s">
        <v>536</v>
      </c>
      <c r="D476" s="2854"/>
      <c r="E476" s="1589">
        <f>SUM(E477:E491)</f>
        <v>0</v>
      </c>
      <c r="F476" s="1589">
        <f>SUM(F477:F491)</f>
        <v>1147622</v>
      </c>
      <c r="G476" s="1590"/>
    </row>
    <row r="477" spans="1:7" ht="36.75" customHeight="1">
      <c r="A477" s="548"/>
      <c r="B477" s="742"/>
      <c r="C477" s="1600" t="s">
        <v>1036</v>
      </c>
      <c r="D477" s="1601" t="s">
        <v>611</v>
      </c>
      <c r="E477" s="1589">
        <v>0</v>
      </c>
      <c r="F477" s="1589">
        <v>860038</v>
      </c>
      <c r="G477" s="1590"/>
    </row>
    <row r="478" spans="1:7" ht="20.25" customHeight="1">
      <c r="A478" s="548"/>
      <c r="B478" s="742"/>
      <c r="C478" s="1549" t="s">
        <v>1037</v>
      </c>
      <c r="D478" s="1602" t="s">
        <v>474</v>
      </c>
      <c r="E478" s="1589">
        <v>0</v>
      </c>
      <c r="F478" s="1589">
        <v>76986</v>
      </c>
      <c r="G478" s="1590"/>
    </row>
    <row r="479" spans="1:7" ht="20.25" customHeight="1">
      <c r="A479" s="548"/>
      <c r="B479" s="742"/>
      <c r="C479" s="1549" t="s">
        <v>1038</v>
      </c>
      <c r="D479" s="1602" t="s">
        <v>474</v>
      </c>
      <c r="E479" s="1589">
        <v>0</v>
      </c>
      <c r="F479" s="1589">
        <v>13586</v>
      </c>
      <c r="G479" s="1590"/>
    </row>
    <row r="480" spans="1:7" ht="18.75" customHeight="1">
      <c r="A480" s="548"/>
      <c r="B480" s="742"/>
      <c r="C480" s="1549" t="s">
        <v>1039</v>
      </c>
      <c r="D480" s="1602" t="s">
        <v>478</v>
      </c>
      <c r="E480" s="1589">
        <v>0</v>
      </c>
      <c r="F480" s="1589">
        <v>13234</v>
      </c>
      <c r="G480" s="1590"/>
    </row>
    <row r="481" spans="1:7" ht="20.25" customHeight="1">
      <c r="A481" s="548"/>
      <c r="B481" s="742"/>
      <c r="C481" s="1571" t="s">
        <v>1040</v>
      </c>
      <c r="D481" s="1603" t="s">
        <v>478</v>
      </c>
      <c r="E481" s="1589">
        <v>0</v>
      </c>
      <c r="F481" s="1552">
        <v>2335</v>
      </c>
      <c r="G481" s="1590"/>
    </row>
    <row r="482" spans="1:7" ht="27.75" customHeight="1">
      <c r="A482" s="548"/>
      <c r="B482" s="742"/>
      <c r="C482" s="1571" t="s">
        <v>1041</v>
      </c>
      <c r="D482" s="1603" t="s">
        <v>1028</v>
      </c>
      <c r="E482" s="1589">
        <v>0</v>
      </c>
      <c r="F482" s="1589">
        <v>1886</v>
      </c>
      <c r="G482" s="1590"/>
    </row>
    <row r="483" spans="1:7" ht="27" customHeight="1">
      <c r="A483" s="548"/>
      <c r="B483" s="742"/>
      <c r="C483" s="1571" t="s">
        <v>1042</v>
      </c>
      <c r="D483" s="1603" t="s">
        <v>1028</v>
      </c>
      <c r="E483" s="1589">
        <v>0</v>
      </c>
      <c r="F483" s="1589">
        <v>333</v>
      </c>
      <c r="G483" s="1590"/>
    </row>
    <row r="484" spans="1:7" ht="18" customHeight="1">
      <c r="A484" s="548"/>
      <c r="B484" s="742"/>
      <c r="C484" s="1571" t="s">
        <v>1043</v>
      </c>
      <c r="D484" s="1603" t="s">
        <v>487</v>
      </c>
      <c r="E484" s="1589">
        <v>0</v>
      </c>
      <c r="F484" s="1589">
        <v>25402</v>
      </c>
      <c r="G484" s="1590"/>
    </row>
    <row r="485" spans="1:7" ht="18" customHeight="1">
      <c r="A485" s="548"/>
      <c r="B485" s="742"/>
      <c r="C485" s="1571" t="s">
        <v>1044</v>
      </c>
      <c r="D485" s="1603" t="s">
        <v>487</v>
      </c>
      <c r="E485" s="1589">
        <v>0</v>
      </c>
      <c r="F485" s="1589">
        <v>4483</v>
      </c>
      <c r="G485" s="1590"/>
    </row>
    <row r="486" spans="1:7" ht="18" customHeight="1">
      <c r="A486" s="548"/>
      <c r="B486" s="742"/>
      <c r="C486" s="1549" t="s">
        <v>1045</v>
      </c>
      <c r="D486" s="1603" t="s">
        <v>497</v>
      </c>
      <c r="E486" s="1589">
        <v>0</v>
      </c>
      <c r="F486" s="1589">
        <v>99416</v>
      </c>
      <c r="G486" s="1590"/>
    </row>
    <row r="487" spans="1:7" ht="18" customHeight="1">
      <c r="A487" s="548"/>
      <c r="B487" s="742"/>
      <c r="C487" s="1549" t="s">
        <v>1046</v>
      </c>
      <c r="D487" s="1603" t="s">
        <v>497</v>
      </c>
      <c r="E487" s="1589">
        <v>0</v>
      </c>
      <c r="F487" s="1589">
        <v>17544</v>
      </c>
      <c r="G487" s="1590"/>
    </row>
    <row r="488" spans="1:7" ht="18.75" customHeight="1">
      <c r="A488" s="548"/>
      <c r="B488" s="742"/>
      <c r="C488" s="1549" t="s">
        <v>1047</v>
      </c>
      <c r="D488" s="1603" t="s">
        <v>505</v>
      </c>
      <c r="E488" s="1589">
        <v>0</v>
      </c>
      <c r="F488" s="1552">
        <v>7675</v>
      </c>
      <c r="G488" s="1590"/>
    </row>
    <row r="489" spans="1:7" ht="20.25" customHeight="1">
      <c r="A489" s="548"/>
      <c r="B489" s="742"/>
      <c r="C489" s="1549" t="s">
        <v>1048</v>
      </c>
      <c r="D489" s="1603" t="s">
        <v>505</v>
      </c>
      <c r="E489" s="1589">
        <v>0</v>
      </c>
      <c r="F489" s="1589">
        <v>1355</v>
      </c>
      <c r="G489" s="1590"/>
    </row>
    <row r="490" spans="1:7" ht="19.5" customHeight="1">
      <c r="A490" s="548"/>
      <c r="B490" s="742"/>
      <c r="C490" s="1549" t="s">
        <v>1049</v>
      </c>
      <c r="D490" s="1603" t="s">
        <v>631</v>
      </c>
      <c r="E490" s="1589">
        <v>0</v>
      </c>
      <c r="F490" s="1589">
        <v>19847</v>
      </c>
      <c r="G490" s="1590"/>
    </row>
    <row r="491" spans="1:7" ht="18" customHeight="1" thickBot="1">
      <c r="A491" s="548"/>
      <c r="B491" s="742"/>
      <c r="C491" s="1549" t="s">
        <v>1050</v>
      </c>
      <c r="D491" s="1603" t="s">
        <v>631</v>
      </c>
      <c r="E491" s="1589">
        <v>0</v>
      </c>
      <c r="F491" s="1589">
        <v>3502</v>
      </c>
      <c r="G491" s="1590"/>
    </row>
    <row r="492" spans="1:7" ht="16.5" hidden="1" customHeight="1">
      <c r="A492" s="548"/>
      <c r="B492" s="742"/>
      <c r="C492" s="1604"/>
      <c r="D492" s="1605"/>
      <c r="E492" s="1589"/>
      <c r="F492" s="1589"/>
      <c r="G492" s="1590"/>
    </row>
    <row r="493" spans="1:7" ht="16.5" hidden="1" customHeight="1">
      <c r="A493" s="548"/>
      <c r="B493" s="742"/>
      <c r="C493" s="2850" t="s">
        <v>523</v>
      </c>
      <c r="D493" s="2851"/>
      <c r="E493" s="1606">
        <f>E494</f>
        <v>10000</v>
      </c>
      <c r="F493" s="1606">
        <f t="shared" ref="F493:F494" si="90">F494</f>
        <v>0</v>
      </c>
      <c r="G493" s="1607">
        <f t="shared" si="85"/>
        <v>0</v>
      </c>
    </row>
    <row r="494" spans="1:7" ht="16.5" hidden="1" customHeight="1">
      <c r="A494" s="548"/>
      <c r="B494" s="742"/>
      <c r="C494" s="2825" t="s">
        <v>641</v>
      </c>
      <c r="D494" s="2855"/>
      <c r="E494" s="1589">
        <f>E495</f>
        <v>10000</v>
      </c>
      <c r="F494" s="1589">
        <f t="shared" si="90"/>
        <v>0</v>
      </c>
      <c r="G494" s="1590">
        <f t="shared" si="85"/>
        <v>0</v>
      </c>
    </row>
    <row r="495" spans="1:7" ht="39.75" hidden="1" customHeight="1" thickBot="1">
      <c r="A495" s="548"/>
      <c r="B495" s="742"/>
      <c r="C495" s="1608" t="s">
        <v>642</v>
      </c>
      <c r="D495" s="1541" t="s">
        <v>643</v>
      </c>
      <c r="E495" s="583">
        <v>10000</v>
      </c>
      <c r="F495" s="583">
        <v>0</v>
      </c>
      <c r="G495" s="1609">
        <f t="shared" si="85"/>
        <v>0</v>
      </c>
    </row>
    <row r="496" spans="1:7" ht="17.100000000000001" customHeight="1" thickBot="1">
      <c r="A496" s="545" t="s">
        <v>654</v>
      </c>
      <c r="B496" s="546"/>
      <c r="C496" s="1416"/>
      <c r="D496" s="1417" t="s">
        <v>655</v>
      </c>
      <c r="E496" s="547">
        <f>E497+E520</f>
        <v>1889543</v>
      </c>
      <c r="F496" s="547">
        <f t="shared" ref="F496" si="91">F497+F520</f>
        <v>19357399</v>
      </c>
      <c r="G496" s="1418">
        <f t="shared" si="85"/>
        <v>10.244487159064388</v>
      </c>
    </row>
    <row r="497" spans="1:7" ht="17.100000000000001" customHeight="1" thickBot="1">
      <c r="A497" s="548"/>
      <c r="B497" s="559" t="s">
        <v>656</v>
      </c>
      <c r="C497" s="560"/>
      <c r="D497" s="561" t="s">
        <v>287</v>
      </c>
      <c r="E497" s="562">
        <f>E498+E515</f>
        <v>1553846</v>
      </c>
      <c r="F497" s="562">
        <f t="shared" ref="F497" si="92">F498+F515</f>
        <v>18682568</v>
      </c>
      <c r="G497" s="1478">
        <f t="shared" si="85"/>
        <v>12.023436041924361</v>
      </c>
    </row>
    <row r="498" spans="1:7" ht="17.100000000000001" customHeight="1">
      <c r="A498" s="548"/>
      <c r="B498" s="741"/>
      <c r="C498" s="2790" t="s">
        <v>470</v>
      </c>
      <c r="D498" s="2790"/>
      <c r="E498" s="549">
        <f>E499+E512</f>
        <v>633132</v>
      </c>
      <c r="F498" s="549">
        <f t="shared" ref="F498" si="93">F499+F512</f>
        <v>485400</v>
      </c>
      <c r="G498" s="1424">
        <f t="shared" si="85"/>
        <v>0.76666477132730615</v>
      </c>
    </row>
    <row r="499" spans="1:7" ht="17.100000000000001" customHeight="1">
      <c r="A499" s="548"/>
      <c r="B499" s="741"/>
      <c r="C499" s="2854" t="s">
        <v>471</v>
      </c>
      <c r="D499" s="2854"/>
      <c r="E499" s="1436">
        <f>E501</f>
        <v>564000</v>
      </c>
      <c r="F499" s="1436">
        <f t="shared" ref="F499" si="94">F501</f>
        <v>485400</v>
      </c>
      <c r="G499" s="1437">
        <f t="shared" si="85"/>
        <v>0.86063829787234047</v>
      </c>
    </row>
    <row r="500" spans="1:7" ht="17.100000000000001" customHeight="1">
      <c r="A500" s="548"/>
      <c r="B500" s="741"/>
      <c r="C500" s="1610"/>
      <c r="D500" s="1610"/>
      <c r="E500" s="1436"/>
      <c r="F500" s="1436"/>
      <c r="G500" s="1437"/>
    </row>
    <row r="501" spans="1:7" ht="17.100000000000001" customHeight="1">
      <c r="A501" s="548"/>
      <c r="B501" s="741"/>
      <c r="C501" s="2848" t="s">
        <v>483</v>
      </c>
      <c r="D501" s="2848"/>
      <c r="E501" s="1461">
        <f>SUM(E502:E510)</f>
        <v>564000</v>
      </c>
      <c r="F501" s="1461">
        <f>SUM(F502:F510)</f>
        <v>485400</v>
      </c>
      <c r="G501" s="1462">
        <f t="shared" si="85"/>
        <v>0.86063829787234047</v>
      </c>
    </row>
    <row r="502" spans="1:7" ht="17.100000000000001" customHeight="1">
      <c r="A502" s="548"/>
      <c r="B502" s="746"/>
      <c r="C502" s="1598" t="s">
        <v>486</v>
      </c>
      <c r="D502" s="1599" t="s">
        <v>487</v>
      </c>
      <c r="E502" s="1436">
        <v>10000</v>
      </c>
      <c r="F502" s="1436">
        <v>10000</v>
      </c>
      <c r="G502" s="1437">
        <f t="shared" si="85"/>
        <v>1</v>
      </c>
    </row>
    <row r="503" spans="1:7" ht="17.100000000000001" customHeight="1">
      <c r="A503" s="548"/>
      <c r="B503" s="746"/>
      <c r="C503" s="1598" t="s">
        <v>490</v>
      </c>
      <c r="D503" s="1599" t="s">
        <v>491</v>
      </c>
      <c r="E503" s="1436">
        <v>60000</v>
      </c>
      <c r="F503" s="1436">
        <v>50000</v>
      </c>
      <c r="G503" s="1437">
        <f t="shared" si="85"/>
        <v>0.83333333333333337</v>
      </c>
    </row>
    <row r="504" spans="1:7" ht="17.100000000000001" customHeight="1">
      <c r="A504" s="548"/>
      <c r="B504" s="746"/>
      <c r="C504" s="1598" t="s">
        <v>492</v>
      </c>
      <c r="D504" s="1599" t="s">
        <v>493</v>
      </c>
      <c r="E504" s="1436">
        <v>50000</v>
      </c>
      <c r="F504" s="1436">
        <v>30000</v>
      </c>
      <c r="G504" s="1437">
        <f t="shared" si="85"/>
        <v>0.6</v>
      </c>
    </row>
    <row r="505" spans="1:7" ht="17.100000000000001" customHeight="1">
      <c r="A505" s="548"/>
      <c r="B505" s="746"/>
      <c r="C505" s="1598" t="s">
        <v>496</v>
      </c>
      <c r="D505" s="1599" t="s">
        <v>497</v>
      </c>
      <c r="E505" s="1436">
        <v>285000</v>
      </c>
      <c r="F505" s="1436">
        <v>255000</v>
      </c>
      <c r="G505" s="1437">
        <f t="shared" si="85"/>
        <v>0.89473684210526316</v>
      </c>
    </row>
    <row r="506" spans="1:7" ht="17.100000000000001" hidden="1" customHeight="1">
      <c r="A506" s="548"/>
      <c r="B506" s="746"/>
      <c r="C506" s="1598" t="s">
        <v>506</v>
      </c>
      <c r="D506" s="1599" t="s">
        <v>507</v>
      </c>
      <c r="E506" s="1436">
        <v>7000</v>
      </c>
      <c r="F506" s="1436">
        <v>0</v>
      </c>
      <c r="G506" s="1437">
        <f t="shared" si="85"/>
        <v>0</v>
      </c>
    </row>
    <row r="507" spans="1:7" ht="17.100000000000001" customHeight="1">
      <c r="A507" s="548"/>
      <c r="B507" s="746"/>
      <c r="C507" s="1598" t="s">
        <v>510</v>
      </c>
      <c r="D507" s="1599" t="s">
        <v>511</v>
      </c>
      <c r="E507" s="1436">
        <v>110000</v>
      </c>
      <c r="F507" s="1436">
        <v>100000</v>
      </c>
      <c r="G507" s="1437">
        <f t="shared" si="85"/>
        <v>0.90909090909090906</v>
      </c>
    </row>
    <row r="508" spans="1:7" ht="17.100000000000001" customHeight="1">
      <c r="A508" s="548"/>
      <c r="B508" s="746"/>
      <c r="C508" s="1598" t="s">
        <v>514</v>
      </c>
      <c r="D508" s="1599" t="s">
        <v>515</v>
      </c>
      <c r="E508" s="1436">
        <v>2000</v>
      </c>
      <c r="F508" s="1436">
        <v>400</v>
      </c>
      <c r="G508" s="1437">
        <f t="shared" si="85"/>
        <v>0.2</v>
      </c>
    </row>
    <row r="509" spans="1:7" ht="17.100000000000001" hidden="1" customHeight="1">
      <c r="A509" s="548"/>
      <c r="B509" s="746"/>
      <c r="C509" s="1598" t="s">
        <v>516</v>
      </c>
      <c r="D509" s="1599" t="s">
        <v>517</v>
      </c>
      <c r="E509" s="1436"/>
      <c r="F509" s="1436"/>
      <c r="G509" s="1437" t="e">
        <f t="shared" si="85"/>
        <v>#DIV/0!</v>
      </c>
    </row>
    <row r="510" spans="1:7" ht="17.100000000000001" customHeight="1">
      <c r="A510" s="548"/>
      <c r="B510" s="746"/>
      <c r="C510" s="1598" t="s">
        <v>580</v>
      </c>
      <c r="D510" s="1599" t="s">
        <v>581</v>
      </c>
      <c r="E510" s="1436">
        <v>40000</v>
      </c>
      <c r="F510" s="1436">
        <v>40000</v>
      </c>
      <c r="G510" s="1437">
        <f t="shared" si="85"/>
        <v>1</v>
      </c>
    </row>
    <row r="511" spans="1:7" ht="17.100000000000001" customHeight="1">
      <c r="A511" s="548"/>
      <c r="B511" s="746"/>
      <c r="C511" s="748"/>
      <c r="D511" s="745"/>
      <c r="E511" s="551"/>
      <c r="F511" s="1436"/>
      <c r="G511" s="1438"/>
    </row>
    <row r="512" spans="1:7" ht="17.100000000000001" hidden="1" customHeight="1">
      <c r="A512" s="548"/>
      <c r="B512" s="746"/>
      <c r="C512" s="2849" t="s">
        <v>567</v>
      </c>
      <c r="D512" s="2849"/>
      <c r="E512" s="1564">
        <f>E513</f>
        <v>69132</v>
      </c>
      <c r="F512" s="1564">
        <f t="shared" ref="F512" si="95">F513</f>
        <v>0</v>
      </c>
      <c r="G512" s="1561">
        <f t="shared" si="85"/>
        <v>0</v>
      </c>
    </row>
    <row r="513" spans="1:7" ht="26.25" hidden="1" customHeight="1">
      <c r="A513" s="548"/>
      <c r="B513" s="746"/>
      <c r="C513" s="1598" t="s">
        <v>277</v>
      </c>
      <c r="D513" s="1599" t="s">
        <v>657</v>
      </c>
      <c r="E513" s="1436">
        <v>69132</v>
      </c>
      <c r="F513" s="1436">
        <v>0</v>
      </c>
      <c r="G513" s="1437">
        <f t="shared" si="85"/>
        <v>0</v>
      </c>
    </row>
    <row r="514" spans="1:7" ht="17.100000000000001" hidden="1" customHeight="1">
      <c r="A514" s="548"/>
      <c r="B514" s="746"/>
      <c r="C514" s="716"/>
      <c r="D514" s="1538"/>
      <c r="E514" s="1436"/>
      <c r="F514" s="1436"/>
      <c r="G514" s="1437"/>
    </row>
    <row r="515" spans="1:7" ht="17.100000000000001" customHeight="1">
      <c r="A515" s="548"/>
      <c r="B515" s="746"/>
      <c r="C515" s="2850" t="s">
        <v>523</v>
      </c>
      <c r="D515" s="2851"/>
      <c r="E515" s="1611">
        <f>E516</f>
        <v>920714</v>
      </c>
      <c r="F515" s="1611">
        <f t="shared" ref="F515" si="96">F516</f>
        <v>18197168</v>
      </c>
      <c r="G515" s="1612">
        <f t="shared" si="85"/>
        <v>19.764191703395408</v>
      </c>
    </row>
    <row r="516" spans="1:7" ht="17.100000000000001" customHeight="1">
      <c r="A516" s="548"/>
      <c r="B516" s="746"/>
      <c r="C516" s="2852" t="s">
        <v>641</v>
      </c>
      <c r="D516" s="2852"/>
      <c r="E516" s="1564">
        <f>E517+E519+E518</f>
        <v>920714</v>
      </c>
      <c r="F516" s="1564">
        <f>F517+F519+F518</f>
        <v>18197168</v>
      </c>
      <c r="G516" s="1561">
        <f t="shared" si="85"/>
        <v>19.764191703395408</v>
      </c>
    </row>
    <row r="517" spans="1:7" ht="17.100000000000001" hidden="1" customHeight="1">
      <c r="A517" s="548"/>
      <c r="B517" s="746"/>
      <c r="C517" s="1598" t="s">
        <v>525</v>
      </c>
      <c r="D517" s="1599" t="s">
        <v>571</v>
      </c>
      <c r="E517" s="1436">
        <v>316000</v>
      </c>
      <c r="F517" s="1436">
        <v>0</v>
      </c>
      <c r="G517" s="1437">
        <f t="shared" si="85"/>
        <v>0</v>
      </c>
    </row>
    <row r="518" spans="1:7" ht="49.5" customHeight="1">
      <c r="A518" s="548"/>
      <c r="B518" s="746"/>
      <c r="C518" s="1608" t="s">
        <v>608</v>
      </c>
      <c r="D518" s="1613" t="s">
        <v>609</v>
      </c>
      <c r="E518" s="1564">
        <v>295000</v>
      </c>
      <c r="F518" s="1564">
        <v>17997168</v>
      </c>
      <c r="G518" s="1437">
        <f t="shared" si="85"/>
        <v>61.007349152542375</v>
      </c>
    </row>
    <row r="519" spans="1:7" ht="42" customHeight="1" thickBot="1">
      <c r="A519" s="548"/>
      <c r="B519" s="746"/>
      <c r="C519" s="1608" t="s">
        <v>642</v>
      </c>
      <c r="D519" s="1613" t="s">
        <v>643</v>
      </c>
      <c r="E519" s="1564">
        <f>79714+30000+200000</f>
        <v>309714</v>
      </c>
      <c r="F519" s="1564">
        <v>200000</v>
      </c>
      <c r="G519" s="1561">
        <f t="shared" si="85"/>
        <v>0.64575705328141442</v>
      </c>
    </row>
    <row r="520" spans="1:7" ht="17.25" customHeight="1" thickBot="1">
      <c r="A520" s="548"/>
      <c r="B520" s="559" t="s">
        <v>658</v>
      </c>
      <c r="C520" s="560"/>
      <c r="D520" s="561" t="s">
        <v>239</v>
      </c>
      <c r="E520" s="562">
        <f>E521+E525</f>
        <v>335697</v>
      </c>
      <c r="F520" s="562">
        <f>F521+F525</f>
        <v>674831</v>
      </c>
      <c r="G520" s="1478">
        <f t="shared" si="85"/>
        <v>2.0102383995090811</v>
      </c>
    </row>
    <row r="521" spans="1:7" ht="17.25" hidden="1" customHeight="1">
      <c r="A521" s="548"/>
      <c r="B521" s="575"/>
      <c r="C521" s="2853" t="s">
        <v>470</v>
      </c>
      <c r="D521" s="2853"/>
      <c r="E521" s="549">
        <f>E522</f>
        <v>10000</v>
      </c>
      <c r="F521" s="549">
        <f>F522</f>
        <v>0</v>
      </c>
      <c r="G521" s="1424">
        <f t="shared" si="85"/>
        <v>0</v>
      </c>
    </row>
    <row r="522" spans="1:7" ht="17.25" hidden="1" customHeight="1">
      <c r="A522" s="548"/>
      <c r="B522" s="575"/>
      <c r="C522" s="2849" t="s">
        <v>567</v>
      </c>
      <c r="D522" s="2849"/>
      <c r="E522" s="1564">
        <f>E523</f>
        <v>10000</v>
      </c>
      <c r="F522" s="1564">
        <f t="shared" ref="F522" si="97">F523</f>
        <v>0</v>
      </c>
      <c r="G522" s="1561">
        <f t="shared" si="85"/>
        <v>0</v>
      </c>
    </row>
    <row r="523" spans="1:7" ht="25.5" hidden="1" customHeight="1">
      <c r="A523" s="548"/>
      <c r="B523" s="575"/>
      <c r="C523" s="1598" t="s">
        <v>277</v>
      </c>
      <c r="D523" s="1599" t="s">
        <v>657</v>
      </c>
      <c r="E523" s="1436">
        <v>10000</v>
      </c>
      <c r="F523" s="1436">
        <v>0</v>
      </c>
      <c r="G523" s="1437">
        <f t="shared" si="85"/>
        <v>0</v>
      </c>
    </row>
    <row r="524" spans="1:7" ht="17.25" hidden="1" customHeight="1">
      <c r="A524" s="548"/>
      <c r="B524" s="575"/>
      <c r="C524" s="748"/>
      <c r="D524" s="745"/>
      <c r="E524" s="1436"/>
      <c r="F524" s="1436"/>
      <c r="G524" s="1437"/>
    </row>
    <row r="525" spans="1:7" ht="13.5" customHeight="1">
      <c r="A525" s="548"/>
      <c r="B525" s="746"/>
      <c r="C525" s="2850" t="s">
        <v>523</v>
      </c>
      <c r="D525" s="2851"/>
      <c r="E525" s="551">
        <f>E526</f>
        <v>325697</v>
      </c>
      <c r="F525" s="551">
        <f t="shared" ref="F525" si="98">F526</f>
        <v>674831</v>
      </c>
      <c r="G525" s="1438">
        <f t="shared" si="85"/>
        <v>2.0719595206587718</v>
      </c>
    </row>
    <row r="526" spans="1:7" ht="16.5" customHeight="1">
      <c r="A526" s="548"/>
      <c r="B526" s="746"/>
      <c r="C526" s="2852" t="s">
        <v>641</v>
      </c>
      <c r="D526" s="2852"/>
      <c r="E526" s="1564">
        <f>E527+E528</f>
        <v>325697</v>
      </c>
      <c r="F526" s="1564">
        <f>F527+F528</f>
        <v>674831</v>
      </c>
      <c r="G526" s="1561">
        <f t="shared" si="85"/>
        <v>2.0719595206587718</v>
      </c>
    </row>
    <row r="527" spans="1:7" ht="50.25" customHeight="1" thickBot="1">
      <c r="A527" s="548"/>
      <c r="B527" s="746"/>
      <c r="C527" s="1614" t="s">
        <v>608</v>
      </c>
      <c r="D527" s="745" t="s">
        <v>609</v>
      </c>
      <c r="E527" s="1564">
        <v>296247</v>
      </c>
      <c r="F527" s="1564">
        <v>674831</v>
      </c>
      <c r="G527" s="1561">
        <f t="shared" si="85"/>
        <v>2.277933616205396</v>
      </c>
    </row>
    <row r="528" spans="1:7" ht="50.25" hidden="1" customHeight="1" thickBot="1">
      <c r="A528" s="548"/>
      <c r="B528" s="573"/>
      <c r="C528" s="1608" t="s">
        <v>642</v>
      </c>
      <c r="D528" s="1613" t="s">
        <v>643</v>
      </c>
      <c r="E528" s="552">
        <v>29450</v>
      </c>
      <c r="F528" s="552">
        <v>0</v>
      </c>
      <c r="G528" s="1445">
        <f t="shared" si="85"/>
        <v>0</v>
      </c>
    </row>
    <row r="529" spans="1:9" ht="17.100000000000001" customHeight="1" thickBot="1">
      <c r="A529" s="545" t="s">
        <v>659</v>
      </c>
      <c r="B529" s="565"/>
      <c r="C529" s="566"/>
      <c r="D529" s="567" t="s">
        <v>660</v>
      </c>
      <c r="E529" s="568">
        <f>SUM(E530,E565,E599)</f>
        <v>39071538</v>
      </c>
      <c r="F529" s="568">
        <f>SUM(F530,F565,F599)</f>
        <v>17675244</v>
      </c>
      <c r="G529" s="1499">
        <f t="shared" si="85"/>
        <v>0.45238157760772046</v>
      </c>
      <c r="I529" s="584"/>
    </row>
    <row r="530" spans="1:9" ht="17.100000000000001" customHeight="1" thickBot="1">
      <c r="A530" s="548"/>
      <c r="B530" s="559" t="s">
        <v>661</v>
      </c>
      <c r="C530" s="560"/>
      <c r="D530" s="561" t="s">
        <v>297</v>
      </c>
      <c r="E530" s="562">
        <f>E531+E562</f>
        <v>4198010</v>
      </c>
      <c r="F530" s="562">
        <f>F531+F562</f>
        <v>4208441</v>
      </c>
      <c r="G530" s="1478">
        <f t="shared" si="85"/>
        <v>1.0024847487261821</v>
      </c>
    </row>
    <row r="531" spans="1:9" ht="17.100000000000001" customHeight="1">
      <c r="A531" s="548"/>
      <c r="B531" s="746"/>
      <c r="C531" s="2853" t="s">
        <v>470</v>
      </c>
      <c r="D531" s="2853"/>
      <c r="E531" s="549">
        <f>E532+E559</f>
        <v>4198010</v>
      </c>
      <c r="F531" s="549">
        <f>F532+F559</f>
        <v>4159505</v>
      </c>
      <c r="G531" s="1424">
        <f t="shared" si="85"/>
        <v>0.99082779697999768</v>
      </c>
    </row>
    <row r="532" spans="1:9" ht="17.100000000000001" customHeight="1">
      <c r="A532" s="548"/>
      <c r="B532" s="746"/>
      <c r="C532" s="2854" t="s">
        <v>471</v>
      </c>
      <c r="D532" s="2854"/>
      <c r="E532" s="1436">
        <f>E533+E540</f>
        <v>4193010</v>
      </c>
      <c r="F532" s="1436">
        <f>F533+F540</f>
        <v>4154605</v>
      </c>
      <c r="G532" s="1437">
        <f t="shared" si="85"/>
        <v>0.99084070870329433</v>
      </c>
    </row>
    <row r="533" spans="1:9" ht="17.100000000000001" customHeight="1">
      <c r="A533" s="548"/>
      <c r="B533" s="746"/>
      <c r="C533" s="2861" t="s">
        <v>472</v>
      </c>
      <c r="D533" s="2861"/>
      <c r="E533" s="1461">
        <f>SUM(E534:E538)</f>
        <v>3645670</v>
      </c>
      <c r="F533" s="1461">
        <f>SUM(F534:F538)</f>
        <v>3596215</v>
      </c>
      <c r="G533" s="1462">
        <f t="shared" si="85"/>
        <v>0.98643459226973373</v>
      </c>
    </row>
    <row r="534" spans="1:9" ht="17.100000000000001" customHeight="1">
      <c r="A534" s="548"/>
      <c r="B534" s="746"/>
      <c r="C534" s="1598" t="s">
        <v>473</v>
      </c>
      <c r="D534" s="1599" t="s">
        <v>474</v>
      </c>
      <c r="E534" s="1436">
        <v>2863740</v>
      </c>
      <c r="F534" s="1436">
        <v>2806605</v>
      </c>
      <c r="G534" s="1437">
        <f t="shared" ref="G534:G598" si="99">F534/E534</f>
        <v>0.98004881728089843</v>
      </c>
    </row>
    <row r="535" spans="1:9" ht="17.100000000000001" customHeight="1">
      <c r="A535" s="548"/>
      <c r="B535" s="746"/>
      <c r="C535" s="1598" t="s">
        <v>475</v>
      </c>
      <c r="D535" s="1599" t="s">
        <v>476</v>
      </c>
      <c r="E535" s="1436">
        <v>222170</v>
      </c>
      <c r="F535" s="1436">
        <v>218670</v>
      </c>
      <c r="G535" s="1437">
        <f t="shared" si="99"/>
        <v>0.98424629788000184</v>
      </c>
    </row>
    <row r="536" spans="1:9" ht="17.100000000000001" customHeight="1">
      <c r="A536" s="548"/>
      <c r="B536" s="746"/>
      <c r="C536" s="1598" t="s">
        <v>477</v>
      </c>
      <c r="D536" s="1599" t="s">
        <v>478</v>
      </c>
      <c r="E536" s="1436">
        <v>495220</v>
      </c>
      <c r="F536" s="1436">
        <v>502120</v>
      </c>
      <c r="G536" s="1437">
        <f t="shared" si="99"/>
        <v>1.0139332014054359</v>
      </c>
    </row>
    <row r="537" spans="1:9" ht="26.25" customHeight="1">
      <c r="A537" s="548"/>
      <c r="B537" s="746"/>
      <c r="C537" s="1598" t="s">
        <v>479</v>
      </c>
      <c r="D537" s="1599" t="s">
        <v>1028</v>
      </c>
      <c r="E537" s="1436">
        <v>44540</v>
      </c>
      <c r="F537" s="1436">
        <v>48820</v>
      </c>
      <c r="G537" s="1437">
        <f t="shared" si="99"/>
        <v>1.0960933991917379</v>
      </c>
    </row>
    <row r="538" spans="1:9" ht="17.100000000000001" customHeight="1">
      <c r="A538" s="548"/>
      <c r="B538" s="746"/>
      <c r="C538" s="1598" t="s">
        <v>481</v>
      </c>
      <c r="D538" s="1599" t="s">
        <v>482</v>
      </c>
      <c r="E538" s="1436">
        <v>20000</v>
      </c>
      <c r="F538" s="1436">
        <v>20000</v>
      </c>
      <c r="G538" s="1437">
        <f t="shared" si="99"/>
        <v>1</v>
      </c>
    </row>
    <row r="539" spans="1:9" ht="17.100000000000001" customHeight="1">
      <c r="A539" s="548"/>
      <c r="B539" s="746"/>
      <c r="C539" s="553"/>
      <c r="D539" s="553"/>
      <c r="E539" s="550"/>
      <c r="F539" s="550"/>
      <c r="G539" s="1433"/>
    </row>
    <row r="540" spans="1:9" ht="17.100000000000001" customHeight="1">
      <c r="A540" s="548"/>
      <c r="B540" s="746"/>
      <c r="C540" s="2848" t="s">
        <v>483</v>
      </c>
      <c r="D540" s="2848"/>
      <c r="E540" s="1461">
        <f>SUM(E541:E557)</f>
        <v>547340</v>
      </c>
      <c r="F540" s="1461">
        <f t="shared" ref="F540" si="100">SUM(F541:F557)</f>
        <v>558390</v>
      </c>
      <c r="G540" s="1462">
        <f t="shared" si="99"/>
        <v>1.0201885482515438</v>
      </c>
    </row>
    <row r="541" spans="1:9" ht="17.100000000000001" customHeight="1">
      <c r="A541" s="548"/>
      <c r="B541" s="746"/>
      <c r="C541" s="1614" t="s">
        <v>484</v>
      </c>
      <c r="D541" s="1615" t="s">
        <v>485</v>
      </c>
      <c r="E541" s="1436">
        <v>6190</v>
      </c>
      <c r="F541" s="1436">
        <v>32620</v>
      </c>
      <c r="G541" s="1437">
        <f t="shared" si="99"/>
        <v>5.2697899838449107</v>
      </c>
    </row>
    <row r="542" spans="1:9" ht="17.100000000000001" customHeight="1">
      <c r="A542" s="548"/>
      <c r="B542" s="746"/>
      <c r="C542" s="1598" t="s">
        <v>486</v>
      </c>
      <c r="D542" s="1599" t="s">
        <v>487</v>
      </c>
      <c r="E542" s="1436">
        <v>85000</v>
      </c>
      <c r="F542" s="1436">
        <v>83500</v>
      </c>
      <c r="G542" s="1437">
        <f t="shared" si="99"/>
        <v>0.98235294117647054</v>
      </c>
    </row>
    <row r="543" spans="1:9" ht="17.100000000000001" customHeight="1">
      <c r="A543" s="548"/>
      <c r="B543" s="746"/>
      <c r="C543" s="1598" t="s">
        <v>488</v>
      </c>
      <c r="D543" s="1599" t="s">
        <v>662</v>
      </c>
      <c r="E543" s="1436">
        <v>1500</v>
      </c>
      <c r="F543" s="1436">
        <v>1500</v>
      </c>
      <c r="G543" s="1437">
        <f t="shared" si="99"/>
        <v>1</v>
      </c>
    </row>
    <row r="544" spans="1:9" ht="17.100000000000001" customHeight="1">
      <c r="A544" s="548"/>
      <c r="B544" s="746"/>
      <c r="C544" s="1598" t="s">
        <v>663</v>
      </c>
      <c r="D544" s="1599" t="s">
        <v>664</v>
      </c>
      <c r="E544" s="1436">
        <v>1500</v>
      </c>
      <c r="F544" s="1436">
        <v>1500</v>
      </c>
      <c r="G544" s="1437">
        <f t="shared" si="99"/>
        <v>1</v>
      </c>
    </row>
    <row r="545" spans="1:7" ht="17.100000000000001" customHeight="1">
      <c r="A545" s="548"/>
      <c r="B545" s="746"/>
      <c r="C545" s="1598" t="s">
        <v>490</v>
      </c>
      <c r="D545" s="1599" t="s">
        <v>491</v>
      </c>
      <c r="E545" s="1436">
        <v>110000</v>
      </c>
      <c r="F545" s="1436">
        <v>111000</v>
      </c>
      <c r="G545" s="1437">
        <f t="shared" si="99"/>
        <v>1.009090909090909</v>
      </c>
    </row>
    <row r="546" spans="1:7" ht="17.100000000000001" customHeight="1">
      <c r="A546" s="548"/>
      <c r="B546" s="746"/>
      <c r="C546" s="1598" t="s">
        <v>492</v>
      </c>
      <c r="D546" s="1599" t="s">
        <v>493</v>
      </c>
      <c r="E546" s="1436">
        <v>26020</v>
      </c>
      <c r="F546" s="1436">
        <v>23400</v>
      </c>
      <c r="G546" s="1437">
        <f t="shared" si="99"/>
        <v>0.89930822444273639</v>
      </c>
    </row>
    <row r="547" spans="1:7" ht="17.100000000000001" customHeight="1">
      <c r="A547" s="548"/>
      <c r="B547" s="746"/>
      <c r="C547" s="1598" t="s">
        <v>494</v>
      </c>
      <c r="D547" s="1599" t="s">
        <v>495</v>
      </c>
      <c r="E547" s="1436">
        <v>3740</v>
      </c>
      <c r="F547" s="1436">
        <v>3210</v>
      </c>
      <c r="G547" s="1437">
        <f t="shared" si="99"/>
        <v>0.85828877005347592</v>
      </c>
    </row>
    <row r="548" spans="1:7" ht="17.100000000000001" customHeight="1">
      <c r="A548" s="548"/>
      <c r="B548" s="746"/>
      <c r="C548" s="1598" t="s">
        <v>496</v>
      </c>
      <c r="D548" s="1599" t="s">
        <v>497</v>
      </c>
      <c r="E548" s="1436">
        <v>135400</v>
      </c>
      <c r="F548" s="1436">
        <v>135700</v>
      </c>
      <c r="G548" s="1437">
        <f t="shared" si="99"/>
        <v>1.0022156573116692</v>
      </c>
    </row>
    <row r="549" spans="1:7" ht="16.5" customHeight="1">
      <c r="A549" s="548"/>
      <c r="B549" s="746"/>
      <c r="C549" s="1598" t="s">
        <v>498</v>
      </c>
      <c r="D549" s="1599" t="s">
        <v>499</v>
      </c>
      <c r="E549" s="1436">
        <v>11700</v>
      </c>
      <c r="F549" s="1436">
        <v>13800</v>
      </c>
      <c r="G549" s="1437">
        <f t="shared" si="99"/>
        <v>1.1794871794871795</v>
      </c>
    </row>
    <row r="550" spans="1:7" ht="25.5" hidden="1" customHeight="1">
      <c r="A550" s="548"/>
      <c r="B550" s="746"/>
      <c r="C550" s="1598" t="s">
        <v>502</v>
      </c>
      <c r="D550" s="1599" t="s">
        <v>503</v>
      </c>
      <c r="E550" s="1436">
        <v>45900</v>
      </c>
      <c r="F550" s="1436">
        <v>0</v>
      </c>
      <c r="G550" s="1437">
        <f t="shared" si="99"/>
        <v>0</v>
      </c>
    </row>
    <row r="551" spans="1:7" ht="17.100000000000001" customHeight="1">
      <c r="A551" s="548"/>
      <c r="B551" s="746"/>
      <c r="C551" s="1598" t="s">
        <v>504</v>
      </c>
      <c r="D551" s="1599" t="s">
        <v>505</v>
      </c>
      <c r="E551" s="1436">
        <v>7000</v>
      </c>
      <c r="F551" s="1436">
        <v>7000</v>
      </c>
      <c r="G551" s="1437">
        <f t="shared" si="99"/>
        <v>1</v>
      </c>
    </row>
    <row r="552" spans="1:7" ht="17.100000000000001" hidden="1" customHeight="1">
      <c r="A552" s="548"/>
      <c r="B552" s="746"/>
      <c r="C552" s="1598" t="s">
        <v>630</v>
      </c>
      <c r="D552" s="1599" t="s">
        <v>631</v>
      </c>
      <c r="E552" s="1436"/>
      <c r="F552" s="1436"/>
      <c r="G552" s="1437" t="e">
        <f t="shared" si="99"/>
        <v>#DIV/0!</v>
      </c>
    </row>
    <row r="553" spans="1:7" ht="17.100000000000001" customHeight="1">
      <c r="A553" s="548"/>
      <c r="B553" s="746"/>
      <c r="C553" s="1598" t="s">
        <v>506</v>
      </c>
      <c r="D553" s="1599" t="s">
        <v>507</v>
      </c>
      <c r="E553" s="1436">
        <v>5520</v>
      </c>
      <c r="F553" s="1436">
        <v>5500</v>
      </c>
      <c r="G553" s="1437">
        <f t="shared" si="99"/>
        <v>0.99637681159420288</v>
      </c>
    </row>
    <row r="554" spans="1:7" ht="17.100000000000001" customHeight="1">
      <c r="A554" s="548"/>
      <c r="B554" s="746"/>
      <c r="C554" s="1598" t="s">
        <v>508</v>
      </c>
      <c r="D554" s="1599" t="s">
        <v>509</v>
      </c>
      <c r="E554" s="1436">
        <v>76430</v>
      </c>
      <c r="F554" s="1436">
        <v>95620</v>
      </c>
      <c r="G554" s="1437">
        <f t="shared" si="99"/>
        <v>1.2510794190762788</v>
      </c>
    </row>
    <row r="555" spans="1:7" ht="17.100000000000001" customHeight="1">
      <c r="A555" s="548"/>
      <c r="B555" s="746"/>
      <c r="C555" s="1598" t="s">
        <v>510</v>
      </c>
      <c r="D555" s="1599" t="s">
        <v>511</v>
      </c>
      <c r="E555" s="1436">
        <v>8200</v>
      </c>
      <c r="F555" s="1436">
        <v>10000</v>
      </c>
      <c r="G555" s="1437">
        <f t="shared" si="99"/>
        <v>1.2195121951219512</v>
      </c>
    </row>
    <row r="556" spans="1:7" ht="17.100000000000001" customHeight="1">
      <c r="A556" s="548"/>
      <c r="B556" s="746"/>
      <c r="C556" s="1598" t="s">
        <v>514</v>
      </c>
      <c r="D556" s="1599" t="s">
        <v>515</v>
      </c>
      <c r="E556" s="1436">
        <v>12240</v>
      </c>
      <c r="F556" s="1436">
        <v>23040</v>
      </c>
      <c r="G556" s="1437">
        <f t="shared" si="99"/>
        <v>1.8823529411764706</v>
      </c>
    </row>
    <row r="557" spans="1:7" ht="17.100000000000001" customHeight="1">
      <c r="A557" s="548"/>
      <c r="B557" s="746"/>
      <c r="C557" s="1598" t="s">
        <v>518</v>
      </c>
      <c r="D557" s="1599" t="s">
        <v>519</v>
      </c>
      <c r="E557" s="1436">
        <v>11000</v>
      </c>
      <c r="F557" s="1436">
        <v>11000</v>
      </c>
      <c r="G557" s="1437">
        <f t="shared" si="99"/>
        <v>1</v>
      </c>
    </row>
    <row r="558" spans="1:7" ht="17.100000000000001" customHeight="1">
      <c r="A558" s="548"/>
      <c r="B558" s="746"/>
      <c r="C558" s="553"/>
      <c r="D558" s="553"/>
      <c r="E558" s="550"/>
      <c r="F558" s="550"/>
      <c r="G558" s="1433"/>
    </row>
    <row r="559" spans="1:7" ht="17.100000000000001" customHeight="1">
      <c r="A559" s="548"/>
      <c r="B559" s="746"/>
      <c r="C559" s="2849" t="s">
        <v>520</v>
      </c>
      <c r="D559" s="2849"/>
      <c r="E559" s="1436">
        <f t="shared" ref="E559:F559" si="101">E560</f>
        <v>5000</v>
      </c>
      <c r="F559" s="1436">
        <f t="shared" si="101"/>
        <v>4900</v>
      </c>
      <c r="G559" s="1437">
        <f t="shared" si="99"/>
        <v>0.98</v>
      </c>
    </row>
    <row r="560" spans="1:7" ht="18.75" customHeight="1">
      <c r="A560" s="548"/>
      <c r="B560" s="746"/>
      <c r="C560" s="1608" t="s">
        <v>521</v>
      </c>
      <c r="D560" s="1613" t="s">
        <v>522</v>
      </c>
      <c r="E560" s="1564">
        <v>5000</v>
      </c>
      <c r="F560" s="1564">
        <v>4900</v>
      </c>
      <c r="G560" s="1561">
        <f t="shared" si="99"/>
        <v>0.98</v>
      </c>
    </row>
    <row r="561" spans="1:7" ht="15.75" customHeight="1">
      <c r="A561" s="548"/>
      <c r="B561" s="746"/>
      <c r="C561" s="2856"/>
      <c r="D561" s="2857"/>
      <c r="E561" s="1616"/>
      <c r="F561" s="1616"/>
      <c r="G561" s="1617"/>
    </row>
    <row r="562" spans="1:7" ht="18" customHeight="1">
      <c r="A562" s="548"/>
      <c r="B562" s="746"/>
      <c r="C562" s="2858" t="s">
        <v>523</v>
      </c>
      <c r="D562" s="2859"/>
      <c r="E562" s="1618">
        <f>E563</f>
        <v>0</v>
      </c>
      <c r="F562" s="1618">
        <f t="shared" ref="F562" si="102">F563</f>
        <v>48936</v>
      </c>
      <c r="G562" s="1619"/>
    </row>
    <row r="563" spans="1:7" ht="16.5" customHeight="1">
      <c r="A563" s="548"/>
      <c r="B563" s="746"/>
      <c r="C563" s="2860" t="s">
        <v>636</v>
      </c>
      <c r="D563" s="2849"/>
      <c r="E563" s="1564">
        <f>SUM(E564:E564)</f>
        <v>0</v>
      </c>
      <c r="F563" s="1564">
        <f t="shared" ref="F563" si="103">SUM(F564:F564)</f>
        <v>48936</v>
      </c>
      <c r="G563" s="1561"/>
    </row>
    <row r="564" spans="1:7" ht="21" customHeight="1" thickBot="1">
      <c r="A564" s="548"/>
      <c r="B564" s="746"/>
      <c r="C564" s="1620" t="s">
        <v>531</v>
      </c>
      <c r="D564" s="1599" t="s">
        <v>526</v>
      </c>
      <c r="E564" s="1564">
        <v>0</v>
      </c>
      <c r="F564" s="1564">
        <v>48936</v>
      </c>
      <c r="G564" s="1561"/>
    </row>
    <row r="565" spans="1:7" ht="17.100000000000001" customHeight="1" thickBot="1">
      <c r="A565" s="548"/>
      <c r="B565" s="559" t="s">
        <v>665</v>
      </c>
      <c r="C565" s="560"/>
      <c r="D565" s="561" t="s">
        <v>300</v>
      </c>
      <c r="E565" s="562">
        <f>E566</f>
        <v>34853528</v>
      </c>
      <c r="F565" s="562">
        <f t="shared" ref="F565" si="104">F566</f>
        <v>13466803</v>
      </c>
      <c r="G565" s="1478">
        <f t="shared" si="99"/>
        <v>0.3863827788107993</v>
      </c>
    </row>
    <row r="566" spans="1:7" ht="17.100000000000001" customHeight="1">
      <c r="A566" s="548"/>
      <c r="B566" s="746"/>
      <c r="C566" s="2853" t="s">
        <v>470</v>
      </c>
      <c r="D566" s="2853"/>
      <c r="E566" s="549">
        <f>E567+E590+E593</f>
        <v>34853528</v>
      </c>
      <c r="F566" s="549">
        <f t="shared" ref="F566" si="105">F567+F590+F593</f>
        <v>13466803</v>
      </c>
      <c r="G566" s="1424">
        <f t="shared" si="99"/>
        <v>0.3863827788107993</v>
      </c>
    </row>
    <row r="567" spans="1:7" ht="17.100000000000001" customHeight="1">
      <c r="A567" s="548"/>
      <c r="B567" s="746"/>
      <c r="C567" s="2854" t="s">
        <v>471</v>
      </c>
      <c r="D567" s="2854"/>
      <c r="E567" s="1436">
        <f>E568+E575</f>
        <v>1101262</v>
      </c>
      <c r="F567" s="1436">
        <f t="shared" ref="F567" si="106">F568+F575</f>
        <v>932237</v>
      </c>
      <c r="G567" s="1437">
        <f t="shared" si="99"/>
        <v>0.84651699595554919</v>
      </c>
    </row>
    <row r="568" spans="1:7" ht="17.100000000000001" customHeight="1">
      <c r="A568" s="548"/>
      <c r="B568" s="746"/>
      <c r="C568" s="2861" t="s">
        <v>472</v>
      </c>
      <c r="D568" s="2861"/>
      <c r="E568" s="1461">
        <f>SUM(E569:E573)</f>
        <v>741856</v>
      </c>
      <c r="F568" s="1461">
        <f t="shared" ref="F568" si="107">SUM(F569:F573)</f>
        <v>682271</v>
      </c>
      <c r="G568" s="1462">
        <f t="shared" si="99"/>
        <v>0.91968117801837557</v>
      </c>
    </row>
    <row r="569" spans="1:7" ht="17.100000000000001" customHeight="1">
      <c r="A569" s="548"/>
      <c r="B569" s="746"/>
      <c r="C569" s="1598" t="s">
        <v>473</v>
      </c>
      <c r="D569" s="1599" t="s">
        <v>474</v>
      </c>
      <c r="E569" s="1436">
        <v>573181</v>
      </c>
      <c r="F569" s="1436">
        <v>513714</v>
      </c>
      <c r="G569" s="1437">
        <f t="shared" si="99"/>
        <v>0.89625092248347382</v>
      </c>
    </row>
    <row r="570" spans="1:7" ht="17.100000000000001" customHeight="1">
      <c r="A570" s="548"/>
      <c r="B570" s="746"/>
      <c r="C570" s="1598" t="s">
        <v>475</v>
      </c>
      <c r="D570" s="1599" t="s">
        <v>476</v>
      </c>
      <c r="E570" s="1436">
        <v>33696</v>
      </c>
      <c r="F570" s="1436">
        <v>37956</v>
      </c>
      <c r="G570" s="1437">
        <f t="shared" si="99"/>
        <v>1.1264245014245013</v>
      </c>
    </row>
    <row r="571" spans="1:7" ht="17.100000000000001" customHeight="1">
      <c r="A571" s="548"/>
      <c r="B571" s="746"/>
      <c r="C571" s="1598" t="s">
        <v>477</v>
      </c>
      <c r="D571" s="1599" t="s">
        <v>478</v>
      </c>
      <c r="E571" s="1436">
        <v>103228</v>
      </c>
      <c r="F571" s="1436">
        <v>98544</v>
      </c>
      <c r="G571" s="1437">
        <f t="shared" si="99"/>
        <v>0.95462471422482276</v>
      </c>
    </row>
    <row r="572" spans="1:7" ht="27" customHeight="1">
      <c r="A572" s="548"/>
      <c r="B572" s="746"/>
      <c r="C572" s="1598" t="s">
        <v>479</v>
      </c>
      <c r="D572" s="1599" t="s">
        <v>1028</v>
      </c>
      <c r="E572" s="1436">
        <v>13351</v>
      </c>
      <c r="F572" s="1436">
        <v>13457</v>
      </c>
      <c r="G572" s="1437">
        <f t="shared" si="99"/>
        <v>1.00793948018875</v>
      </c>
    </row>
    <row r="573" spans="1:7" ht="17.100000000000001" customHeight="1">
      <c r="A573" s="548"/>
      <c r="B573" s="746"/>
      <c r="C573" s="1598" t="s">
        <v>481</v>
      </c>
      <c r="D573" s="1599" t="s">
        <v>482</v>
      </c>
      <c r="E573" s="1436">
        <v>18400</v>
      </c>
      <c r="F573" s="1436">
        <v>18600</v>
      </c>
      <c r="G573" s="1437">
        <f t="shared" si="99"/>
        <v>1.0108695652173914</v>
      </c>
    </row>
    <row r="574" spans="1:7" ht="17.100000000000001" customHeight="1">
      <c r="A574" s="548"/>
      <c r="B574" s="746"/>
      <c r="C574" s="553"/>
      <c r="D574" s="553"/>
      <c r="E574" s="550"/>
      <c r="F574" s="550"/>
      <c r="G574" s="1433"/>
    </row>
    <row r="575" spans="1:7" ht="17.100000000000001" customHeight="1">
      <c r="A575" s="548"/>
      <c r="B575" s="746"/>
      <c r="C575" s="2848" t="s">
        <v>483</v>
      </c>
      <c r="D575" s="2848"/>
      <c r="E575" s="1461">
        <f>SUM(E576:E588)</f>
        <v>359406</v>
      </c>
      <c r="F575" s="1461">
        <f>SUM(F576:F588)</f>
        <v>249966</v>
      </c>
      <c r="G575" s="1462">
        <f t="shared" si="99"/>
        <v>0.69549757099213705</v>
      </c>
    </row>
    <row r="576" spans="1:7" ht="17.100000000000001" customHeight="1">
      <c r="A576" s="548"/>
      <c r="B576" s="746"/>
      <c r="C576" s="1598" t="s">
        <v>486</v>
      </c>
      <c r="D576" s="1599" t="s">
        <v>487</v>
      </c>
      <c r="E576" s="1436">
        <v>76340</v>
      </c>
      <c r="F576" s="1436">
        <v>25735</v>
      </c>
      <c r="G576" s="1437">
        <f t="shared" si="99"/>
        <v>0.3371102960440136</v>
      </c>
    </row>
    <row r="577" spans="1:7" ht="17.100000000000001" customHeight="1">
      <c r="A577" s="548"/>
      <c r="B577" s="746"/>
      <c r="C577" s="1598" t="s">
        <v>488</v>
      </c>
      <c r="D577" s="1599" t="s">
        <v>489</v>
      </c>
      <c r="E577" s="1436">
        <v>500</v>
      </c>
      <c r="F577" s="1436">
        <v>500</v>
      </c>
      <c r="G577" s="1437">
        <f t="shared" si="99"/>
        <v>1</v>
      </c>
    </row>
    <row r="578" spans="1:7" ht="17.100000000000001" customHeight="1">
      <c r="A578" s="548"/>
      <c r="B578" s="746"/>
      <c r="C578" s="1598" t="s">
        <v>490</v>
      </c>
      <c r="D578" s="1599" t="s">
        <v>491</v>
      </c>
      <c r="E578" s="1436">
        <v>25400</v>
      </c>
      <c r="F578" s="1436">
        <v>32746</v>
      </c>
      <c r="G578" s="1437">
        <f t="shared" si="99"/>
        <v>1.2892125984251968</v>
      </c>
    </row>
    <row r="579" spans="1:7" ht="17.100000000000001" customHeight="1">
      <c r="A579" s="548"/>
      <c r="B579" s="746"/>
      <c r="C579" s="1598" t="s">
        <v>492</v>
      </c>
      <c r="D579" s="1599" t="s">
        <v>493</v>
      </c>
      <c r="E579" s="1436">
        <v>5060</v>
      </c>
      <c r="F579" s="1436">
        <v>6809</v>
      </c>
      <c r="G579" s="1437">
        <f t="shared" si="99"/>
        <v>1.3456521739130434</v>
      </c>
    </row>
    <row r="580" spans="1:7" ht="17.100000000000001" customHeight="1">
      <c r="A580" s="548"/>
      <c r="B580" s="746"/>
      <c r="C580" s="1598" t="s">
        <v>494</v>
      </c>
      <c r="D580" s="1599" t="s">
        <v>495</v>
      </c>
      <c r="E580" s="1436">
        <v>1100</v>
      </c>
      <c r="F580" s="1436">
        <v>700</v>
      </c>
      <c r="G580" s="1437">
        <f t="shared" si="99"/>
        <v>0.63636363636363635</v>
      </c>
    </row>
    <row r="581" spans="1:7" ht="17.100000000000001" customHeight="1">
      <c r="A581" s="548"/>
      <c r="B581" s="746"/>
      <c r="C581" s="1598" t="s">
        <v>496</v>
      </c>
      <c r="D581" s="1599" t="s">
        <v>497</v>
      </c>
      <c r="E581" s="1436">
        <v>193360</v>
      </c>
      <c r="F581" s="1436">
        <v>151756</v>
      </c>
      <c r="G581" s="1437">
        <f t="shared" si="99"/>
        <v>0.78483657426561848</v>
      </c>
    </row>
    <row r="582" spans="1:7" ht="16.5" customHeight="1">
      <c r="A582" s="548"/>
      <c r="B582" s="746"/>
      <c r="C582" s="1598" t="s">
        <v>498</v>
      </c>
      <c r="D582" s="1599" t="s">
        <v>666</v>
      </c>
      <c r="E582" s="1436">
        <v>7120</v>
      </c>
      <c r="F582" s="1436">
        <v>5500</v>
      </c>
      <c r="G582" s="1437">
        <f t="shared" si="99"/>
        <v>0.77247191011235961</v>
      </c>
    </row>
    <row r="583" spans="1:7" ht="26.25" hidden="1" customHeight="1">
      <c r="A583" s="548"/>
      <c r="B583" s="746"/>
      <c r="C583" s="1598" t="s">
        <v>502</v>
      </c>
      <c r="D583" s="1599" t="s">
        <v>503</v>
      </c>
      <c r="E583" s="1436">
        <v>30040</v>
      </c>
      <c r="F583" s="1436">
        <v>0</v>
      </c>
      <c r="G583" s="1437">
        <f t="shared" si="99"/>
        <v>0</v>
      </c>
    </row>
    <row r="584" spans="1:7" ht="17.100000000000001" customHeight="1">
      <c r="A584" s="548"/>
      <c r="B584" s="746"/>
      <c r="C584" s="1598" t="s">
        <v>504</v>
      </c>
      <c r="D584" s="1599" t="s">
        <v>505</v>
      </c>
      <c r="E584" s="1436">
        <v>3500</v>
      </c>
      <c r="F584" s="1436">
        <v>3500</v>
      </c>
      <c r="G584" s="1437">
        <f t="shared" si="99"/>
        <v>1</v>
      </c>
    </row>
    <row r="585" spans="1:7" ht="17.100000000000001" customHeight="1">
      <c r="A585" s="548"/>
      <c r="B585" s="746"/>
      <c r="C585" s="1598" t="s">
        <v>506</v>
      </c>
      <c r="D585" s="1599" t="s">
        <v>507</v>
      </c>
      <c r="E585" s="1436">
        <v>1500</v>
      </c>
      <c r="F585" s="1436">
        <v>4000</v>
      </c>
      <c r="G585" s="1437">
        <f t="shared" si="99"/>
        <v>2.6666666666666665</v>
      </c>
    </row>
    <row r="586" spans="1:7" ht="17.100000000000001" customHeight="1">
      <c r="A586" s="548"/>
      <c r="B586" s="746"/>
      <c r="C586" s="1598" t="s">
        <v>508</v>
      </c>
      <c r="D586" s="1599" t="s">
        <v>509</v>
      </c>
      <c r="E586" s="1436">
        <v>9486</v>
      </c>
      <c r="F586" s="1436">
        <v>9220</v>
      </c>
      <c r="G586" s="1437">
        <f t="shared" si="99"/>
        <v>0.97195867594349572</v>
      </c>
    </row>
    <row r="587" spans="1:7" ht="17.100000000000001" customHeight="1">
      <c r="A587" s="548"/>
      <c r="B587" s="746"/>
      <c r="C587" s="1598" t="s">
        <v>510</v>
      </c>
      <c r="D587" s="1599" t="s">
        <v>511</v>
      </c>
      <c r="E587" s="1436">
        <v>0</v>
      </c>
      <c r="F587" s="1436">
        <v>3500</v>
      </c>
      <c r="G587" s="1437"/>
    </row>
    <row r="588" spans="1:7" ht="17.100000000000001" customHeight="1">
      <c r="A588" s="548"/>
      <c r="B588" s="746"/>
      <c r="C588" s="1598" t="s">
        <v>518</v>
      </c>
      <c r="D588" s="1599" t="s">
        <v>519</v>
      </c>
      <c r="E588" s="1436">
        <v>6000</v>
      </c>
      <c r="F588" s="1436">
        <v>6000</v>
      </c>
      <c r="G588" s="1437">
        <f t="shared" si="99"/>
        <v>1</v>
      </c>
    </row>
    <row r="589" spans="1:7" ht="12" customHeight="1">
      <c r="A589" s="548"/>
      <c r="B589" s="746"/>
      <c r="C589" s="553"/>
      <c r="D589" s="553"/>
      <c r="E589" s="550"/>
      <c r="F589" s="550"/>
      <c r="G589" s="1433"/>
    </row>
    <row r="590" spans="1:7" ht="17.100000000000001" customHeight="1">
      <c r="A590" s="548"/>
      <c r="B590" s="746"/>
      <c r="C590" s="2862" t="s">
        <v>520</v>
      </c>
      <c r="D590" s="2862"/>
      <c r="E590" s="1564">
        <f>E591</f>
        <v>1540</v>
      </c>
      <c r="F590" s="1564">
        <f t="shared" ref="F590" si="108">F591</f>
        <v>600</v>
      </c>
      <c r="G590" s="1561">
        <f t="shared" si="99"/>
        <v>0.38961038961038963</v>
      </c>
    </row>
    <row r="591" spans="1:7" ht="17.100000000000001" customHeight="1">
      <c r="A591" s="548"/>
      <c r="B591" s="746"/>
      <c r="C591" s="1621" t="s">
        <v>521</v>
      </c>
      <c r="D591" s="1622" t="s">
        <v>522</v>
      </c>
      <c r="E591" s="1436">
        <v>1540</v>
      </c>
      <c r="F591" s="1436">
        <v>600</v>
      </c>
      <c r="G591" s="1437">
        <f t="shared" si="99"/>
        <v>0.38961038961038963</v>
      </c>
    </row>
    <row r="592" spans="1:7" ht="11.25" customHeight="1">
      <c r="A592" s="548"/>
      <c r="B592" s="746"/>
      <c r="C592" s="748"/>
      <c r="D592" s="745"/>
      <c r="E592" s="551"/>
      <c r="F592" s="551"/>
      <c r="G592" s="1438"/>
    </row>
    <row r="593" spans="1:7" ht="17.25" customHeight="1">
      <c r="A593" s="548"/>
      <c r="B593" s="746"/>
      <c r="C593" s="2854" t="s">
        <v>536</v>
      </c>
      <c r="D593" s="2854"/>
      <c r="E593" s="1623">
        <f>SUM(E594:E598)</f>
        <v>33750726</v>
      </c>
      <c r="F593" s="1623">
        <f>SUM(F594:F598)</f>
        <v>12533966</v>
      </c>
      <c r="G593" s="1624">
        <f t="shared" si="99"/>
        <v>0.37136878181524152</v>
      </c>
    </row>
    <row r="594" spans="1:7" ht="47.25" customHeight="1">
      <c r="A594" s="548"/>
      <c r="B594" s="746"/>
      <c r="C594" s="1598" t="s">
        <v>381</v>
      </c>
      <c r="D594" s="1625" t="s">
        <v>539</v>
      </c>
      <c r="E594" s="1623">
        <v>31827793</v>
      </c>
      <c r="F594" s="1623">
        <v>11169431</v>
      </c>
      <c r="G594" s="1624">
        <f t="shared" si="99"/>
        <v>0.35093325509563295</v>
      </c>
    </row>
    <row r="595" spans="1:7" ht="42" hidden="1" customHeight="1">
      <c r="A595" s="548"/>
      <c r="B595" s="746"/>
      <c r="C595" s="1608" t="s">
        <v>305</v>
      </c>
      <c r="D595" s="1626" t="s">
        <v>593</v>
      </c>
      <c r="E595" s="1627">
        <v>16128</v>
      </c>
      <c r="F595" s="1627">
        <v>0</v>
      </c>
      <c r="G595" s="1628">
        <f t="shared" si="99"/>
        <v>0</v>
      </c>
    </row>
    <row r="596" spans="1:7" ht="16.5" customHeight="1">
      <c r="A596" s="548"/>
      <c r="B596" s="746"/>
      <c r="C596" s="1629" t="s">
        <v>601</v>
      </c>
      <c r="D596" s="1630" t="s">
        <v>497</v>
      </c>
      <c r="E596" s="564">
        <v>1059676</v>
      </c>
      <c r="F596" s="564">
        <v>1069261</v>
      </c>
      <c r="G596" s="1497">
        <f t="shared" si="99"/>
        <v>1.0090452175948119</v>
      </c>
    </row>
    <row r="597" spans="1:7" ht="15" customHeight="1" thickBot="1">
      <c r="A597" s="548"/>
      <c r="B597" s="746"/>
      <c r="C597" s="1621" t="s">
        <v>558</v>
      </c>
      <c r="D597" s="1631" t="s">
        <v>497</v>
      </c>
      <c r="E597" s="1436">
        <v>844043</v>
      </c>
      <c r="F597" s="1436">
        <v>295274</v>
      </c>
      <c r="G597" s="1438">
        <f t="shared" si="99"/>
        <v>0.34983288766093673</v>
      </c>
    </row>
    <row r="598" spans="1:7" ht="42" hidden="1" customHeight="1" thickBot="1">
      <c r="A598" s="548"/>
      <c r="B598" s="746"/>
      <c r="C598" s="586" t="s">
        <v>589</v>
      </c>
      <c r="D598" s="1632" t="s">
        <v>590</v>
      </c>
      <c r="E598" s="552">
        <f>1000+2086</f>
        <v>3086</v>
      </c>
      <c r="F598" s="552">
        <v>0</v>
      </c>
      <c r="G598" s="1445">
        <f t="shared" si="99"/>
        <v>0</v>
      </c>
    </row>
    <row r="599" spans="1:7" ht="17.25" hidden="1" customHeight="1" thickBot="1">
      <c r="A599" s="548"/>
      <c r="B599" s="559" t="s">
        <v>1051</v>
      </c>
      <c r="C599" s="587"/>
      <c r="D599" s="561" t="s">
        <v>1052</v>
      </c>
      <c r="E599" s="562">
        <f>E600+E604</f>
        <v>20000</v>
      </c>
      <c r="F599" s="562">
        <f>F600+F604</f>
        <v>0</v>
      </c>
      <c r="G599" s="1478">
        <f>F599/E599</f>
        <v>0</v>
      </c>
    </row>
    <row r="600" spans="1:7" ht="15.75" hidden="1" customHeight="1">
      <c r="A600" s="548"/>
      <c r="B600" s="2771"/>
      <c r="C600" s="2853" t="s">
        <v>470</v>
      </c>
      <c r="D600" s="2853"/>
      <c r="E600" s="549">
        <f>E601</f>
        <v>10000</v>
      </c>
      <c r="F600" s="549">
        <f>F601</f>
        <v>0</v>
      </c>
      <c r="G600" s="1424">
        <f>F600/E600</f>
        <v>0</v>
      </c>
    </row>
    <row r="601" spans="1:7" ht="16.5" hidden="1" customHeight="1">
      <c r="A601" s="548"/>
      <c r="B601" s="2771"/>
      <c r="C601" s="2849" t="s">
        <v>567</v>
      </c>
      <c r="D601" s="2849"/>
      <c r="E601" s="1461">
        <f>E602</f>
        <v>10000</v>
      </c>
      <c r="F601" s="1461">
        <f t="shared" ref="F601" si="109">F602</f>
        <v>0</v>
      </c>
      <c r="G601" s="1497">
        <f t="shared" ref="G601:G662" si="110">F601/E601</f>
        <v>0</v>
      </c>
    </row>
    <row r="602" spans="1:7" ht="33.75" hidden="1" customHeight="1">
      <c r="A602" s="548"/>
      <c r="B602" s="2771"/>
      <c r="C602" s="1598" t="s">
        <v>277</v>
      </c>
      <c r="D602" s="1599" t="s">
        <v>657</v>
      </c>
      <c r="E602" s="1436">
        <v>10000</v>
      </c>
      <c r="F602" s="1436">
        <v>0</v>
      </c>
      <c r="G602" s="1497">
        <f t="shared" si="110"/>
        <v>0</v>
      </c>
    </row>
    <row r="603" spans="1:7" ht="15.75" hidden="1" customHeight="1">
      <c r="A603" s="548"/>
      <c r="B603" s="741"/>
      <c r="C603" s="555"/>
      <c r="D603" s="1456"/>
      <c r="E603" s="564"/>
      <c r="F603" s="564"/>
      <c r="G603" s="1424"/>
    </row>
    <row r="604" spans="1:7" ht="18.75" hidden="1" customHeight="1">
      <c r="A604" s="548"/>
      <c r="B604" s="741"/>
      <c r="C604" s="2850" t="s">
        <v>523</v>
      </c>
      <c r="D604" s="2851"/>
      <c r="E604" s="549">
        <f>E605</f>
        <v>10000</v>
      </c>
      <c r="F604" s="549">
        <f>F605</f>
        <v>0</v>
      </c>
      <c r="G604" s="1424">
        <f t="shared" si="110"/>
        <v>0</v>
      </c>
    </row>
    <row r="605" spans="1:7" ht="17.25" hidden="1" customHeight="1">
      <c r="A605" s="548"/>
      <c r="B605" s="741"/>
      <c r="C605" s="2852" t="s">
        <v>641</v>
      </c>
      <c r="D605" s="2852"/>
      <c r="E605" s="551">
        <f>E606</f>
        <v>10000</v>
      </c>
      <c r="F605" s="551">
        <f>F606</f>
        <v>0</v>
      </c>
      <c r="G605" s="1497">
        <f t="shared" si="110"/>
        <v>0</v>
      </c>
    </row>
    <row r="606" spans="1:7" ht="39" hidden="1" customHeight="1" thickBot="1">
      <c r="A606" s="548"/>
      <c r="B606" s="741"/>
      <c r="C606" s="555" t="s">
        <v>642</v>
      </c>
      <c r="D606" s="1456" t="s">
        <v>643</v>
      </c>
      <c r="E606" s="552">
        <v>10000</v>
      </c>
      <c r="F606" s="552">
        <v>0</v>
      </c>
      <c r="G606" s="1497">
        <f t="shared" si="110"/>
        <v>0</v>
      </c>
    </row>
    <row r="607" spans="1:7" ht="17.100000000000001" customHeight="1" thickBot="1">
      <c r="A607" s="545" t="s">
        <v>667</v>
      </c>
      <c r="B607" s="546"/>
      <c r="C607" s="1416"/>
      <c r="D607" s="1417" t="s">
        <v>668</v>
      </c>
      <c r="E607" s="547">
        <f>E608</f>
        <v>45848856</v>
      </c>
      <c r="F607" s="547">
        <f t="shared" ref="F607" si="111">F608</f>
        <v>52555997</v>
      </c>
      <c r="G607" s="1418">
        <f t="shared" si="110"/>
        <v>1.1462880775040494</v>
      </c>
    </row>
    <row r="608" spans="1:7" ht="17.100000000000001" customHeight="1" thickBot="1">
      <c r="A608" s="548"/>
      <c r="B608" s="559" t="s">
        <v>669</v>
      </c>
      <c r="C608" s="560"/>
      <c r="D608" s="561" t="s">
        <v>239</v>
      </c>
      <c r="E608" s="562">
        <f>E609+E627</f>
        <v>45848856</v>
      </c>
      <c r="F608" s="562">
        <f t="shared" ref="F608" si="112">F609+F627</f>
        <v>52555997</v>
      </c>
      <c r="G608" s="1478">
        <f t="shared" si="110"/>
        <v>1.1462880775040494</v>
      </c>
    </row>
    <row r="609" spans="1:7" ht="17.100000000000001" customHeight="1">
      <c r="A609" s="548"/>
      <c r="B609" s="2771"/>
      <c r="C609" s="2853" t="s">
        <v>470</v>
      </c>
      <c r="D609" s="2853"/>
      <c r="E609" s="549">
        <f>E610+E624</f>
        <v>5800346</v>
      </c>
      <c r="F609" s="549">
        <f>F610+F624</f>
        <v>9088130</v>
      </c>
      <c r="G609" s="1424">
        <f t="shared" si="110"/>
        <v>1.5668254962721189</v>
      </c>
    </row>
    <row r="610" spans="1:7" ht="17.100000000000001" customHeight="1">
      <c r="A610" s="548"/>
      <c r="B610" s="2771"/>
      <c r="C610" s="2854" t="s">
        <v>471</v>
      </c>
      <c r="D610" s="2854"/>
      <c r="E610" s="1436">
        <f>E611</f>
        <v>5800036</v>
      </c>
      <c r="F610" s="1436">
        <f t="shared" ref="F610" si="113">F611</f>
        <v>9088130</v>
      </c>
      <c r="G610" s="1437">
        <f t="shared" si="110"/>
        <v>1.5669092398736835</v>
      </c>
    </row>
    <row r="611" spans="1:7" ht="17.100000000000001" customHeight="1">
      <c r="A611" s="548"/>
      <c r="B611" s="2771"/>
      <c r="C611" s="2848" t="s">
        <v>483</v>
      </c>
      <c r="D611" s="2848"/>
      <c r="E611" s="1461">
        <f>SUM(E612:E622)</f>
        <v>5800036</v>
      </c>
      <c r="F611" s="1461">
        <f t="shared" ref="F611" si="114">SUM(F612:F622)</f>
        <v>9088130</v>
      </c>
      <c r="G611" s="1462">
        <f t="shared" si="110"/>
        <v>1.5669092398736835</v>
      </c>
    </row>
    <row r="612" spans="1:7" ht="17.100000000000001" customHeight="1">
      <c r="A612" s="548"/>
      <c r="B612" s="2771"/>
      <c r="C612" s="1598" t="s">
        <v>486</v>
      </c>
      <c r="D612" s="1599" t="s">
        <v>487</v>
      </c>
      <c r="E612" s="1436">
        <v>190000</v>
      </c>
      <c r="F612" s="1436">
        <v>224222</v>
      </c>
      <c r="G612" s="1437">
        <f t="shared" si="110"/>
        <v>1.1801157894736842</v>
      </c>
    </row>
    <row r="613" spans="1:7" ht="17.100000000000001" customHeight="1">
      <c r="A613" s="548"/>
      <c r="B613" s="2771"/>
      <c r="C613" s="1598" t="s">
        <v>490</v>
      </c>
      <c r="D613" s="1599" t="s">
        <v>491</v>
      </c>
      <c r="E613" s="1436">
        <v>16000</v>
      </c>
      <c r="F613" s="1436">
        <v>20000</v>
      </c>
      <c r="G613" s="1437">
        <f t="shared" si="110"/>
        <v>1.25</v>
      </c>
    </row>
    <row r="614" spans="1:7" ht="17.100000000000001" customHeight="1">
      <c r="A614" s="548"/>
      <c r="B614" s="2771"/>
      <c r="C614" s="1598" t="s">
        <v>492</v>
      </c>
      <c r="D614" s="1599" t="s">
        <v>493</v>
      </c>
      <c r="E614" s="1436">
        <v>270000</v>
      </c>
      <c r="F614" s="1436">
        <v>430000</v>
      </c>
      <c r="G614" s="1437">
        <f t="shared" si="110"/>
        <v>1.5925925925925926</v>
      </c>
    </row>
    <row r="615" spans="1:7" ht="17.100000000000001" customHeight="1">
      <c r="A615" s="548"/>
      <c r="B615" s="2771"/>
      <c r="C615" s="1598" t="s">
        <v>496</v>
      </c>
      <c r="D615" s="1599" t="s">
        <v>497</v>
      </c>
      <c r="E615" s="1436">
        <v>511036</v>
      </c>
      <c r="F615" s="1436">
        <v>2656908</v>
      </c>
      <c r="G615" s="1437">
        <f t="shared" si="110"/>
        <v>5.1990622969810349</v>
      </c>
    </row>
    <row r="616" spans="1:7" ht="17.100000000000001" customHeight="1">
      <c r="A616" s="548"/>
      <c r="B616" s="2771"/>
      <c r="C616" s="1598" t="s">
        <v>498</v>
      </c>
      <c r="D616" s="1599" t="s">
        <v>499</v>
      </c>
      <c r="E616" s="1436">
        <v>3000</v>
      </c>
      <c r="F616" s="1436">
        <v>5000</v>
      </c>
      <c r="G616" s="1437">
        <f t="shared" si="110"/>
        <v>1.6666666666666667</v>
      </c>
    </row>
    <row r="617" spans="1:7" ht="17.100000000000001" hidden="1" customHeight="1">
      <c r="A617" s="548"/>
      <c r="B617" s="2771"/>
      <c r="C617" s="1598" t="s">
        <v>500</v>
      </c>
      <c r="D617" s="1599" t="s">
        <v>501</v>
      </c>
      <c r="E617" s="1436">
        <v>40000</v>
      </c>
      <c r="F617" s="1436">
        <v>0</v>
      </c>
      <c r="G617" s="1437">
        <f t="shared" si="110"/>
        <v>0</v>
      </c>
    </row>
    <row r="618" spans="1:7" ht="25.5" customHeight="1">
      <c r="A618" s="548"/>
      <c r="B618" s="741"/>
      <c r="C618" s="1633" t="s">
        <v>502</v>
      </c>
      <c r="D618" s="1599" t="s">
        <v>503</v>
      </c>
      <c r="E618" s="1436">
        <v>8000</v>
      </c>
      <c r="F618" s="1436">
        <v>8000</v>
      </c>
      <c r="G618" s="1437">
        <f t="shared" si="110"/>
        <v>1</v>
      </c>
    </row>
    <row r="619" spans="1:7" ht="17.100000000000001" customHeight="1">
      <c r="A619" s="548"/>
      <c r="B619" s="741"/>
      <c r="C619" s="1633" t="s">
        <v>506</v>
      </c>
      <c r="D619" s="1599" t="s">
        <v>507</v>
      </c>
      <c r="E619" s="1436">
        <v>4453000</v>
      </c>
      <c r="F619" s="1436">
        <v>4500000</v>
      </c>
      <c r="G619" s="1437">
        <f t="shared" si="110"/>
        <v>1.0105546822366944</v>
      </c>
    </row>
    <row r="620" spans="1:7" ht="17.100000000000001" customHeight="1">
      <c r="A620" s="548"/>
      <c r="B620" s="741"/>
      <c r="C620" s="1633" t="s">
        <v>516</v>
      </c>
      <c r="D620" s="1599" t="s">
        <v>517</v>
      </c>
      <c r="E620" s="1436">
        <v>184000</v>
      </c>
      <c r="F620" s="1436">
        <v>1219000</v>
      </c>
      <c r="G620" s="1437">
        <f t="shared" si="110"/>
        <v>6.625</v>
      </c>
    </row>
    <row r="621" spans="1:7" ht="17.100000000000001" hidden="1" customHeight="1">
      <c r="A621" s="548"/>
      <c r="B621" s="741"/>
      <c r="C621" s="1633" t="s">
        <v>580</v>
      </c>
      <c r="D621" s="1599" t="s">
        <v>581</v>
      </c>
      <c r="E621" s="1436">
        <v>100000</v>
      </c>
      <c r="F621" s="1436">
        <v>0</v>
      </c>
      <c r="G621" s="1437">
        <f t="shared" si="110"/>
        <v>0</v>
      </c>
    </row>
    <row r="622" spans="1:7" ht="15.75" customHeight="1">
      <c r="A622" s="548"/>
      <c r="B622" s="741"/>
      <c r="C622" s="1598" t="s">
        <v>518</v>
      </c>
      <c r="D622" s="1599" t="s">
        <v>519</v>
      </c>
      <c r="E622" s="1436">
        <v>25000</v>
      </c>
      <c r="F622" s="1436">
        <v>25000</v>
      </c>
      <c r="G622" s="1437">
        <f t="shared" si="110"/>
        <v>1</v>
      </c>
    </row>
    <row r="623" spans="1:7" ht="15.75" hidden="1" customHeight="1">
      <c r="A623" s="548"/>
      <c r="B623" s="741"/>
      <c r="C623" s="1634"/>
      <c r="D623" s="1594"/>
      <c r="E623" s="1436"/>
      <c r="F623" s="1436"/>
      <c r="G623" s="1437"/>
    </row>
    <row r="624" spans="1:7" ht="15.75" hidden="1" customHeight="1">
      <c r="A624" s="548"/>
      <c r="B624" s="741"/>
      <c r="C624" s="2860" t="s">
        <v>536</v>
      </c>
      <c r="D624" s="2870"/>
      <c r="E624" s="1436">
        <f>E625</f>
        <v>310</v>
      </c>
      <c r="F624" s="1436">
        <f>F625</f>
        <v>0</v>
      </c>
      <c r="G624" s="1437">
        <f t="shared" si="110"/>
        <v>0</v>
      </c>
    </row>
    <row r="625" spans="1:7" ht="42" hidden="1" customHeight="1">
      <c r="A625" s="548"/>
      <c r="B625" s="741"/>
      <c r="C625" s="1614" t="s">
        <v>589</v>
      </c>
      <c r="D625" s="1594" t="s">
        <v>590</v>
      </c>
      <c r="E625" s="1436">
        <v>310</v>
      </c>
      <c r="F625" s="1436">
        <v>0</v>
      </c>
      <c r="G625" s="1437">
        <f t="shared" si="110"/>
        <v>0</v>
      </c>
    </row>
    <row r="626" spans="1:7" ht="15.75" customHeight="1">
      <c r="A626" s="548"/>
      <c r="B626" s="741"/>
      <c r="C626" s="1634"/>
      <c r="D626" s="1594"/>
      <c r="E626" s="1436"/>
      <c r="F626" s="1436"/>
      <c r="G626" s="1437"/>
    </row>
    <row r="627" spans="1:7" ht="15.75" customHeight="1">
      <c r="A627" s="548"/>
      <c r="B627" s="741"/>
      <c r="C627" s="2871" t="s">
        <v>523</v>
      </c>
      <c r="D627" s="2871"/>
      <c r="E627" s="1484">
        <f>SUM(E628)</f>
        <v>40048510</v>
      </c>
      <c r="F627" s="1484">
        <f t="shared" ref="F627" si="115">SUM(F628)</f>
        <v>43467867</v>
      </c>
      <c r="G627" s="1485">
        <f t="shared" si="110"/>
        <v>1.0853803799442225</v>
      </c>
    </row>
    <row r="628" spans="1:7" ht="15.75" customHeight="1">
      <c r="A628" s="548"/>
      <c r="B628" s="741"/>
      <c r="C628" s="2849" t="s">
        <v>524</v>
      </c>
      <c r="D628" s="2849"/>
      <c r="E628" s="1436">
        <f>SUM(E629:E637)</f>
        <v>40048510</v>
      </c>
      <c r="F628" s="1436">
        <f>SUM(F629:F637)</f>
        <v>43467867</v>
      </c>
      <c r="G628" s="1437">
        <f t="shared" si="110"/>
        <v>1.0853803799442225</v>
      </c>
    </row>
    <row r="629" spans="1:7" ht="15.75" customHeight="1">
      <c r="A629" s="548"/>
      <c r="B629" s="741"/>
      <c r="C629" s="1598" t="s">
        <v>531</v>
      </c>
      <c r="D629" s="1599" t="s">
        <v>526</v>
      </c>
      <c r="E629" s="1436">
        <f>235900+15721</f>
        <v>251621</v>
      </c>
      <c r="F629" s="1436">
        <v>341778</v>
      </c>
      <c r="G629" s="1437">
        <f t="shared" si="110"/>
        <v>1.3583047519881091</v>
      </c>
    </row>
    <row r="630" spans="1:7" ht="15" customHeight="1">
      <c r="A630" s="548"/>
      <c r="B630" s="741"/>
      <c r="C630" s="1598" t="s">
        <v>625</v>
      </c>
      <c r="D630" s="1599" t="s">
        <v>526</v>
      </c>
      <c r="E630" s="1436">
        <f>9905836+1286488</f>
        <v>11192324</v>
      </c>
      <c r="F630" s="1436">
        <f>10163941+2025707</f>
        <v>12189648</v>
      </c>
      <c r="G630" s="1437">
        <f t="shared" si="110"/>
        <v>1.0891078564201679</v>
      </c>
    </row>
    <row r="631" spans="1:7" ht="13.5" hidden="1" customHeight="1">
      <c r="A631" s="548"/>
      <c r="B631" s="741"/>
      <c r="C631" s="1598" t="s">
        <v>637</v>
      </c>
      <c r="D631" s="1599" t="s">
        <v>526</v>
      </c>
      <c r="E631" s="1436"/>
      <c r="F631" s="1436"/>
      <c r="G631" s="1437"/>
    </row>
    <row r="632" spans="1:7" ht="18.75" customHeight="1">
      <c r="A632" s="548"/>
      <c r="B632" s="741"/>
      <c r="C632" s="1598" t="s">
        <v>626</v>
      </c>
      <c r="D632" s="1599" t="s">
        <v>526</v>
      </c>
      <c r="E632" s="1436">
        <f>1601049+227028</f>
        <v>1828077</v>
      </c>
      <c r="F632" s="1436">
        <f>1793636+357479</f>
        <v>2151115</v>
      </c>
      <c r="G632" s="1437">
        <f t="shared" si="110"/>
        <v>1.1767091867574506</v>
      </c>
    </row>
    <row r="633" spans="1:7" ht="18.75" customHeight="1">
      <c r="A633" s="548"/>
      <c r="B633" s="741"/>
      <c r="C633" s="1608" t="s">
        <v>525</v>
      </c>
      <c r="D633" s="1635" t="s">
        <v>571</v>
      </c>
      <c r="E633" s="1436">
        <v>0</v>
      </c>
      <c r="F633" s="1436">
        <v>160000</v>
      </c>
      <c r="G633" s="1437"/>
    </row>
    <row r="634" spans="1:7" ht="43.5" hidden="1" customHeight="1">
      <c r="A634" s="548"/>
      <c r="B634" s="741"/>
      <c r="C634" s="1608" t="s">
        <v>605</v>
      </c>
      <c r="D634" s="1636" t="s">
        <v>611</v>
      </c>
      <c r="E634" s="1436">
        <v>90564</v>
      </c>
      <c r="F634" s="1436">
        <v>0</v>
      </c>
      <c r="G634" s="1437">
        <f t="shared" si="110"/>
        <v>0</v>
      </c>
    </row>
    <row r="635" spans="1:7" ht="51">
      <c r="A635" s="548"/>
      <c r="B635" s="741"/>
      <c r="C635" s="1608" t="s">
        <v>670</v>
      </c>
      <c r="D635" s="585" t="s">
        <v>609</v>
      </c>
      <c r="E635" s="1436">
        <v>26284038</v>
      </c>
      <c r="F635" s="1436">
        <v>28625326</v>
      </c>
      <c r="G635" s="1437">
        <f t="shared" si="110"/>
        <v>1.0890764196886338</v>
      </c>
    </row>
    <row r="636" spans="1:7" ht="40.5" hidden="1" customHeight="1">
      <c r="A636" s="548"/>
      <c r="B636" s="741"/>
      <c r="C636" s="1598" t="s">
        <v>642</v>
      </c>
      <c r="D636" s="1599" t="s">
        <v>643</v>
      </c>
      <c r="E636" s="1436">
        <v>383470</v>
      </c>
      <c r="F636" s="1436">
        <v>0</v>
      </c>
      <c r="G636" s="1437">
        <f t="shared" si="110"/>
        <v>0</v>
      </c>
    </row>
    <row r="637" spans="1:7" ht="54.75" hidden="1" customHeight="1">
      <c r="A637" s="548"/>
      <c r="B637" s="741"/>
      <c r="C637" s="1600" t="s">
        <v>991</v>
      </c>
      <c r="D637" s="1601" t="s">
        <v>533</v>
      </c>
      <c r="E637" s="551">
        <v>18416</v>
      </c>
      <c r="F637" s="551">
        <v>0</v>
      </c>
      <c r="G637" s="1438">
        <f t="shared" si="110"/>
        <v>0</v>
      </c>
    </row>
    <row r="638" spans="1:7" ht="15.75" customHeight="1">
      <c r="A638" s="548"/>
      <c r="B638" s="741"/>
      <c r="C638" s="2856"/>
      <c r="D638" s="2857"/>
      <c r="E638" s="1623"/>
      <c r="F638" s="1623"/>
      <c r="G638" s="1624"/>
    </row>
    <row r="639" spans="1:7" ht="15.75" customHeight="1">
      <c r="A639" s="548"/>
      <c r="B639" s="741"/>
      <c r="C639" s="2848" t="s">
        <v>534</v>
      </c>
      <c r="D639" s="2872"/>
      <c r="E639" s="1637">
        <f>SUM(E640:E646)</f>
        <v>39529762</v>
      </c>
      <c r="F639" s="1637">
        <f>SUM(F640:F646)</f>
        <v>42966089</v>
      </c>
      <c r="G639" s="1638">
        <f t="shared" si="110"/>
        <v>1.0869301211578253</v>
      </c>
    </row>
    <row r="640" spans="1:7" ht="15.75" hidden="1" customHeight="1">
      <c r="A640" s="548"/>
      <c r="B640" s="741"/>
      <c r="C640" s="1598" t="s">
        <v>531</v>
      </c>
      <c r="D640" s="1599" t="s">
        <v>526</v>
      </c>
      <c r="E640" s="1623">
        <f>100622+15721</f>
        <v>116343</v>
      </c>
      <c r="F640" s="1623">
        <v>0</v>
      </c>
      <c r="G640" s="1624">
        <f t="shared" si="110"/>
        <v>0</v>
      </c>
    </row>
    <row r="641" spans="1:7" ht="15.75" customHeight="1">
      <c r="A641" s="548"/>
      <c r="B641" s="741"/>
      <c r="C641" s="1598" t="s">
        <v>625</v>
      </c>
      <c r="D641" s="1599" t="s">
        <v>526</v>
      </c>
      <c r="E641" s="1623">
        <f>9905836+1286488</f>
        <v>11192324</v>
      </c>
      <c r="F641" s="1623">
        <f>10163941+2025707</f>
        <v>12189648</v>
      </c>
      <c r="G641" s="1624">
        <f t="shared" si="110"/>
        <v>1.0891078564201679</v>
      </c>
    </row>
    <row r="642" spans="1:7" ht="15.75" hidden="1" customHeight="1">
      <c r="A642" s="548"/>
      <c r="B642" s="741"/>
      <c r="C642" s="1598" t="s">
        <v>637</v>
      </c>
      <c r="D642" s="1599" t="s">
        <v>526</v>
      </c>
      <c r="E642" s="1623"/>
      <c r="F642" s="1623"/>
      <c r="G642" s="1624" t="e">
        <f t="shared" si="110"/>
        <v>#DIV/0!</v>
      </c>
    </row>
    <row r="643" spans="1:7" ht="15.75" customHeight="1">
      <c r="A643" s="548"/>
      <c r="B643" s="741"/>
      <c r="C643" s="1598" t="s">
        <v>626</v>
      </c>
      <c r="D643" s="1599" t="s">
        <v>526</v>
      </c>
      <c r="E643" s="1623">
        <f>1601049+227028</f>
        <v>1828077</v>
      </c>
      <c r="F643" s="1623">
        <f>1793636+357479</f>
        <v>2151115</v>
      </c>
      <c r="G643" s="1624">
        <f t="shared" si="110"/>
        <v>1.1767091867574506</v>
      </c>
    </row>
    <row r="644" spans="1:7" ht="39.75" hidden="1" customHeight="1">
      <c r="A644" s="548"/>
      <c r="B644" s="741"/>
      <c r="C644" s="1608" t="s">
        <v>605</v>
      </c>
      <c r="D644" s="1635" t="s">
        <v>611</v>
      </c>
      <c r="E644" s="1623">
        <v>90564</v>
      </c>
      <c r="F644" s="1623">
        <v>0</v>
      </c>
      <c r="G644" s="1624">
        <f t="shared" si="110"/>
        <v>0</v>
      </c>
    </row>
    <row r="645" spans="1:7" ht="51.75" thickBot="1">
      <c r="A645" s="548"/>
      <c r="B645" s="741"/>
      <c r="C645" s="1608" t="s">
        <v>670</v>
      </c>
      <c r="D645" s="585" t="s">
        <v>609</v>
      </c>
      <c r="E645" s="1639">
        <v>26284038</v>
      </c>
      <c r="F645" s="1639">
        <v>28625326</v>
      </c>
      <c r="G645" s="1640">
        <f t="shared" si="110"/>
        <v>1.0890764196886338</v>
      </c>
    </row>
    <row r="646" spans="1:7" ht="53.25" hidden="1" customHeight="1" thickBot="1">
      <c r="A646" s="548"/>
      <c r="B646" s="741"/>
      <c r="C646" s="586" t="s">
        <v>991</v>
      </c>
      <c r="D646" s="1632" t="s">
        <v>533</v>
      </c>
      <c r="E646" s="552">
        <v>18416</v>
      </c>
      <c r="F646" s="552">
        <v>0</v>
      </c>
      <c r="G646" s="1445">
        <f t="shared" si="110"/>
        <v>0</v>
      </c>
    </row>
    <row r="647" spans="1:7" ht="16.5" customHeight="1" thickBot="1">
      <c r="A647" s="545" t="s">
        <v>192</v>
      </c>
      <c r="B647" s="546"/>
      <c r="C647" s="1416"/>
      <c r="D647" s="1417" t="s">
        <v>1053</v>
      </c>
      <c r="E647" s="547">
        <f>E648+E661+E652</f>
        <v>3472493</v>
      </c>
      <c r="F647" s="547">
        <f>F648+F661+F652</f>
        <v>1571182</v>
      </c>
      <c r="G647" s="1418">
        <f t="shared" si="110"/>
        <v>0.4524651309592273</v>
      </c>
    </row>
    <row r="648" spans="1:7" ht="17.100000000000001" hidden="1" customHeight="1" thickBot="1">
      <c r="A648" s="588"/>
      <c r="B648" s="559" t="s">
        <v>193</v>
      </c>
      <c r="C648" s="560"/>
      <c r="D648" s="561" t="s">
        <v>671</v>
      </c>
      <c r="E648" s="562">
        <f>E649</f>
        <v>0</v>
      </c>
      <c r="F648" s="562">
        <f t="shared" ref="F648" si="116">F649</f>
        <v>0</v>
      </c>
      <c r="G648" s="1478" t="e">
        <f t="shared" si="110"/>
        <v>#DIV/0!</v>
      </c>
    </row>
    <row r="649" spans="1:7" ht="17.100000000000001" hidden="1" customHeight="1">
      <c r="A649" s="588"/>
      <c r="B649" s="589"/>
      <c r="C649" s="2853" t="s">
        <v>470</v>
      </c>
      <c r="D649" s="2853"/>
      <c r="E649" s="590">
        <f>E650</f>
        <v>0</v>
      </c>
      <c r="F649" s="590">
        <f>F650</f>
        <v>0</v>
      </c>
      <c r="G649" s="1641" t="e">
        <f t="shared" si="110"/>
        <v>#DIV/0!</v>
      </c>
    </row>
    <row r="650" spans="1:7" ht="17.100000000000001" hidden="1" customHeight="1">
      <c r="A650" s="588"/>
      <c r="B650" s="751"/>
      <c r="C650" s="2862" t="s">
        <v>567</v>
      </c>
      <c r="D650" s="2862"/>
      <c r="E650" s="1589">
        <f>E651</f>
        <v>0</v>
      </c>
      <c r="F650" s="1589">
        <f t="shared" ref="F650" si="117">F651</f>
        <v>0</v>
      </c>
      <c r="G650" s="1590" t="e">
        <f t="shared" si="110"/>
        <v>#DIV/0!</v>
      </c>
    </row>
    <row r="651" spans="1:7" ht="43.5" hidden="1" customHeight="1" thickBot="1">
      <c r="A651" s="588"/>
      <c r="B651" s="591"/>
      <c r="C651" s="592" t="s">
        <v>582</v>
      </c>
      <c r="D651" s="1541" t="s">
        <v>647</v>
      </c>
      <c r="E651" s="583"/>
      <c r="F651" s="583"/>
      <c r="G651" s="1609" t="e">
        <f t="shared" si="110"/>
        <v>#DIV/0!</v>
      </c>
    </row>
    <row r="652" spans="1:7" ht="20.25" customHeight="1" thickBot="1">
      <c r="A652" s="588"/>
      <c r="B652" s="559" t="s">
        <v>1054</v>
      </c>
      <c r="C652" s="560"/>
      <c r="D652" s="561" t="s">
        <v>395</v>
      </c>
      <c r="E652" s="562">
        <f>E653</f>
        <v>219000</v>
      </c>
      <c r="F652" s="562">
        <f t="shared" ref="F652" si="118">F653</f>
        <v>219000</v>
      </c>
      <c r="G652" s="1478">
        <f t="shared" si="110"/>
        <v>1</v>
      </c>
    </row>
    <row r="653" spans="1:7" ht="18.75" customHeight="1">
      <c r="A653" s="588"/>
      <c r="B653" s="2863"/>
      <c r="C653" s="2853" t="s">
        <v>470</v>
      </c>
      <c r="D653" s="2853"/>
      <c r="E653" s="549">
        <f>E654+E660</f>
        <v>219000</v>
      </c>
      <c r="F653" s="549">
        <f>F654+F660</f>
        <v>219000</v>
      </c>
      <c r="G653" s="1424">
        <f t="shared" si="110"/>
        <v>1</v>
      </c>
    </row>
    <row r="654" spans="1:7" ht="18" customHeight="1">
      <c r="A654" s="588"/>
      <c r="B654" s="2864"/>
      <c r="C654" s="2854" t="s">
        <v>471</v>
      </c>
      <c r="D654" s="2854"/>
      <c r="E654" s="564">
        <f>E655</f>
        <v>19000</v>
      </c>
      <c r="F654" s="564">
        <f>F655</f>
        <v>19000</v>
      </c>
      <c r="G654" s="1497">
        <f t="shared" si="110"/>
        <v>1</v>
      </c>
    </row>
    <row r="655" spans="1:7" ht="20.25" customHeight="1">
      <c r="A655" s="588"/>
      <c r="B655" s="2864"/>
      <c r="C655" s="2848" t="s">
        <v>483</v>
      </c>
      <c r="D655" s="2848"/>
      <c r="E655" s="564">
        <f>E656+E657</f>
        <v>19000</v>
      </c>
      <c r="F655" s="564">
        <f>F656+F657</f>
        <v>19000</v>
      </c>
      <c r="G655" s="1497">
        <f t="shared" si="110"/>
        <v>1</v>
      </c>
    </row>
    <row r="656" spans="1:7" ht="18" customHeight="1">
      <c r="A656" s="588"/>
      <c r="B656" s="2864"/>
      <c r="C656" s="1598" t="s">
        <v>496</v>
      </c>
      <c r="D656" s="1599" t="s">
        <v>497</v>
      </c>
      <c r="E656" s="564">
        <v>4000</v>
      </c>
      <c r="F656" s="564">
        <v>4000</v>
      </c>
      <c r="G656" s="1497">
        <f t="shared" si="110"/>
        <v>1</v>
      </c>
    </row>
    <row r="657" spans="1:7" ht="18" customHeight="1">
      <c r="A657" s="588"/>
      <c r="B657" s="2864"/>
      <c r="C657" s="554" t="s">
        <v>580</v>
      </c>
      <c r="D657" s="1642" t="s">
        <v>581</v>
      </c>
      <c r="E657" s="564">
        <v>15000</v>
      </c>
      <c r="F657" s="564">
        <v>15000</v>
      </c>
      <c r="G657" s="1497">
        <f t="shared" si="110"/>
        <v>1</v>
      </c>
    </row>
    <row r="658" spans="1:7" ht="18" customHeight="1">
      <c r="A658" s="588"/>
      <c r="B658" s="2864"/>
      <c r="C658" s="2866"/>
      <c r="D658" s="2867"/>
      <c r="E658" s="1436"/>
      <c r="F658" s="1436"/>
      <c r="G658" s="1497"/>
    </row>
    <row r="659" spans="1:7" ht="18" customHeight="1">
      <c r="A659" s="588"/>
      <c r="B659" s="2864"/>
      <c r="C659" s="2868" t="s">
        <v>520</v>
      </c>
      <c r="D659" s="2869"/>
      <c r="E659" s="551">
        <f>E660</f>
        <v>200000</v>
      </c>
      <c r="F659" s="551">
        <f>F660</f>
        <v>200000</v>
      </c>
      <c r="G659" s="1497">
        <f t="shared" si="110"/>
        <v>1</v>
      </c>
    </row>
    <row r="660" spans="1:7" ht="15" customHeight="1" thickBot="1">
      <c r="A660" s="588"/>
      <c r="B660" s="2865"/>
      <c r="C660" s="592" t="s">
        <v>804</v>
      </c>
      <c r="D660" s="1541" t="s">
        <v>805</v>
      </c>
      <c r="E660" s="583">
        <v>200000</v>
      </c>
      <c r="F660" s="583">
        <v>200000</v>
      </c>
      <c r="G660" s="1497">
        <f t="shared" si="110"/>
        <v>1</v>
      </c>
    </row>
    <row r="661" spans="1:7" ht="17.100000000000001" customHeight="1" thickBot="1">
      <c r="A661" s="753"/>
      <c r="B661" s="559" t="s">
        <v>672</v>
      </c>
      <c r="C661" s="560"/>
      <c r="D661" s="561" t="s">
        <v>239</v>
      </c>
      <c r="E661" s="562">
        <f>SUM(E662+E709)</f>
        <v>3253493</v>
      </c>
      <c r="F661" s="562">
        <f t="shared" ref="F661" si="119">SUM(F662+F709)</f>
        <v>1352182</v>
      </c>
      <c r="G661" s="1478">
        <f t="shared" si="110"/>
        <v>0.41560931589525474</v>
      </c>
    </row>
    <row r="662" spans="1:7" ht="17.100000000000001" customHeight="1">
      <c r="A662" s="548"/>
      <c r="B662" s="2771"/>
      <c r="C662" s="2853" t="s">
        <v>470</v>
      </c>
      <c r="D662" s="2853"/>
      <c r="E662" s="549">
        <f>E663+E667+E673</f>
        <v>1591492</v>
      </c>
      <c r="F662" s="549">
        <f>F663+F667+F673</f>
        <v>1340182</v>
      </c>
      <c r="G662" s="1424">
        <f t="shared" si="110"/>
        <v>0.84209157193375772</v>
      </c>
    </row>
    <row r="663" spans="1:7" ht="17.100000000000001" customHeight="1">
      <c r="A663" s="548"/>
      <c r="B663" s="2771"/>
      <c r="C663" s="2854" t="s">
        <v>471</v>
      </c>
      <c r="D663" s="2854"/>
      <c r="E663" s="549">
        <f>E664</f>
        <v>0</v>
      </c>
      <c r="F663" s="549">
        <f>F664</f>
        <v>150000</v>
      </c>
      <c r="G663" s="1424"/>
    </row>
    <row r="664" spans="1:7" ht="17.100000000000001" customHeight="1">
      <c r="A664" s="548"/>
      <c r="B664" s="2771"/>
      <c r="C664" s="2848" t="s">
        <v>483</v>
      </c>
      <c r="D664" s="2848"/>
      <c r="E664" s="564">
        <f>E665</f>
        <v>0</v>
      </c>
      <c r="F664" s="564">
        <f>F665</f>
        <v>150000</v>
      </c>
      <c r="G664" s="1424"/>
    </row>
    <row r="665" spans="1:7" ht="17.100000000000001" customHeight="1">
      <c r="A665" s="548"/>
      <c r="B665" s="2771"/>
      <c r="C665" s="1598" t="s">
        <v>496</v>
      </c>
      <c r="D665" s="1599" t="s">
        <v>497</v>
      </c>
      <c r="E665" s="564">
        <v>0</v>
      </c>
      <c r="F665" s="564">
        <v>150000</v>
      </c>
      <c r="G665" s="1424"/>
    </row>
    <row r="666" spans="1:7" ht="17.100000000000001" customHeight="1">
      <c r="A666" s="548"/>
      <c r="B666" s="2771"/>
      <c r="C666" s="1643"/>
      <c r="D666" s="1643"/>
      <c r="E666" s="549"/>
      <c r="F666" s="549"/>
      <c r="G666" s="1424"/>
    </row>
    <row r="667" spans="1:7" ht="17.100000000000001" customHeight="1">
      <c r="A667" s="548"/>
      <c r="B667" s="2771"/>
      <c r="C667" s="2849" t="s">
        <v>567</v>
      </c>
      <c r="D667" s="2849"/>
      <c r="E667" s="564">
        <f>E668+E669+E670+E671</f>
        <v>325000</v>
      </c>
      <c r="F667" s="564">
        <f>F668+F669+F670+F671</f>
        <v>50000</v>
      </c>
      <c r="G667" s="1497">
        <f t="shared" ref="G667:G758" si="120">F667/E667</f>
        <v>0.15384615384615385</v>
      </c>
    </row>
    <row r="668" spans="1:7" ht="24" hidden="1" customHeight="1">
      <c r="A668" s="548"/>
      <c r="B668" s="2771"/>
      <c r="C668" s="1598" t="s">
        <v>1055</v>
      </c>
      <c r="D668" s="1644" t="s">
        <v>1056</v>
      </c>
      <c r="E668" s="564">
        <v>2000</v>
      </c>
      <c r="F668" s="564">
        <v>0</v>
      </c>
      <c r="G668" s="1497">
        <f t="shared" si="120"/>
        <v>0</v>
      </c>
    </row>
    <row r="669" spans="1:7" ht="28.5" hidden="1" customHeight="1">
      <c r="A669" s="548"/>
      <c r="B669" s="2771"/>
      <c r="C669" s="1614" t="s">
        <v>1057</v>
      </c>
      <c r="D669" s="1644" t="s">
        <v>1058</v>
      </c>
      <c r="E669" s="564">
        <v>148000</v>
      </c>
      <c r="F669" s="564">
        <v>0</v>
      </c>
      <c r="G669" s="1497">
        <f t="shared" si="120"/>
        <v>0</v>
      </c>
    </row>
    <row r="670" spans="1:7" ht="51" customHeight="1">
      <c r="A670" s="548"/>
      <c r="B670" s="2771"/>
      <c r="C670" s="1614" t="s">
        <v>582</v>
      </c>
      <c r="D670" s="1644" t="s">
        <v>583</v>
      </c>
      <c r="E670" s="564">
        <v>50000</v>
      </c>
      <c r="F670" s="564">
        <v>50000</v>
      </c>
      <c r="G670" s="1497">
        <f t="shared" si="120"/>
        <v>1</v>
      </c>
    </row>
    <row r="671" spans="1:7" ht="28.5" hidden="1" customHeight="1">
      <c r="A671" s="548"/>
      <c r="B671" s="2771"/>
      <c r="C671" s="1645" t="s">
        <v>892</v>
      </c>
      <c r="D671" s="1644" t="s">
        <v>893</v>
      </c>
      <c r="E671" s="564">
        <v>125000</v>
      </c>
      <c r="F671" s="564">
        <v>0</v>
      </c>
      <c r="G671" s="1497">
        <f t="shared" si="120"/>
        <v>0</v>
      </c>
    </row>
    <row r="672" spans="1:7" ht="17.100000000000001" customHeight="1">
      <c r="A672" s="548"/>
      <c r="B672" s="2771"/>
      <c r="C672" s="1643"/>
      <c r="D672" s="1643"/>
      <c r="E672" s="549"/>
      <c r="F672" s="549"/>
      <c r="G672" s="1497"/>
    </row>
    <row r="673" spans="1:7" ht="17.100000000000001" customHeight="1">
      <c r="A673" s="548"/>
      <c r="B673" s="2771"/>
      <c r="C673" s="2854" t="s">
        <v>536</v>
      </c>
      <c r="D673" s="2854"/>
      <c r="E673" s="1436">
        <f>SUM(E674:E707)</f>
        <v>1266492</v>
      </c>
      <c r="F673" s="1436">
        <f t="shared" ref="F673" si="121">SUM(F674:F707)</f>
        <v>1140182</v>
      </c>
      <c r="G673" s="1437">
        <f t="shared" si="120"/>
        <v>0.90026782640553593</v>
      </c>
    </row>
    <row r="674" spans="1:7" ht="39" hidden="1" customHeight="1">
      <c r="A674" s="548"/>
      <c r="B674" s="741"/>
      <c r="C674" s="1646" t="s">
        <v>305</v>
      </c>
      <c r="D674" s="1610" t="s">
        <v>593</v>
      </c>
      <c r="E674" s="1436">
        <v>596</v>
      </c>
      <c r="F674" s="1436">
        <v>0</v>
      </c>
      <c r="G674" s="1437">
        <f t="shared" si="120"/>
        <v>0</v>
      </c>
    </row>
    <row r="675" spans="1:7" ht="17.25" hidden="1" customHeight="1">
      <c r="A675" s="548"/>
      <c r="B675" s="741"/>
      <c r="C675" s="1646" t="s">
        <v>595</v>
      </c>
      <c r="D675" s="1610" t="s">
        <v>594</v>
      </c>
      <c r="E675" s="1436">
        <v>37023</v>
      </c>
      <c r="F675" s="1436">
        <v>0</v>
      </c>
      <c r="G675" s="1437">
        <f t="shared" si="120"/>
        <v>0</v>
      </c>
    </row>
    <row r="676" spans="1:7" ht="17.25" customHeight="1">
      <c r="A676" s="548"/>
      <c r="B676" s="741"/>
      <c r="C676" s="1646" t="s">
        <v>596</v>
      </c>
      <c r="D676" s="1599" t="s">
        <v>474</v>
      </c>
      <c r="E676" s="1436">
        <v>100141</v>
      </c>
      <c r="F676" s="1436">
        <v>300423</v>
      </c>
      <c r="G676" s="1437">
        <f t="shared" si="120"/>
        <v>3</v>
      </c>
    </row>
    <row r="677" spans="1:7" ht="17.100000000000001" customHeight="1">
      <c r="A677" s="548"/>
      <c r="B677" s="741"/>
      <c r="C677" s="1647" t="s">
        <v>540</v>
      </c>
      <c r="D677" s="1599" t="s">
        <v>474</v>
      </c>
      <c r="E677" s="1436">
        <f>31296+51072</f>
        <v>82368</v>
      </c>
      <c r="F677" s="1436">
        <v>78152</v>
      </c>
      <c r="G677" s="1437">
        <f t="shared" si="120"/>
        <v>0.9488150738150738</v>
      </c>
    </row>
    <row r="678" spans="1:7" ht="17.100000000000001" customHeight="1">
      <c r="A678" s="548"/>
      <c r="B678" s="741"/>
      <c r="C678" s="1647" t="s">
        <v>541</v>
      </c>
      <c r="D678" s="1599" t="s">
        <v>474</v>
      </c>
      <c r="E678" s="1436">
        <f>5523+9013</f>
        <v>14536</v>
      </c>
      <c r="F678" s="1436">
        <v>13791</v>
      </c>
      <c r="G678" s="1437">
        <f t="shared" si="120"/>
        <v>0.94874793615850306</v>
      </c>
    </row>
    <row r="679" spans="1:7" ht="17.100000000000001" hidden="1" customHeight="1">
      <c r="A679" s="548"/>
      <c r="B679" s="741"/>
      <c r="C679" s="1647" t="s">
        <v>542</v>
      </c>
      <c r="D679" s="1599" t="s">
        <v>476</v>
      </c>
      <c r="E679" s="1436">
        <v>2295</v>
      </c>
      <c r="F679" s="1436">
        <v>0</v>
      </c>
      <c r="G679" s="1437">
        <f t="shared" si="120"/>
        <v>0</v>
      </c>
    </row>
    <row r="680" spans="1:7" ht="17.100000000000001" hidden="1" customHeight="1">
      <c r="A680" s="548"/>
      <c r="B680" s="741"/>
      <c r="C680" s="1647" t="s">
        <v>543</v>
      </c>
      <c r="D680" s="1599" t="s">
        <v>476</v>
      </c>
      <c r="E680" s="1436">
        <v>405</v>
      </c>
      <c r="F680" s="1436">
        <v>0</v>
      </c>
      <c r="G680" s="1437">
        <f t="shared" si="120"/>
        <v>0</v>
      </c>
    </row>
    <row r="681" spans="1:7" ht="17.100000000000001" customHeight="1">
      <c r="A681" s="548"/>
      <c r="B681" s="741"/>
      <c r="C681" s="1647" t="s">
        <v>598</v>
      </c>
      <c r="D681" s="1599" t="s">
        <v>478</v>
      </c>
      <c r="E681" s="1436">
        <v>17405</v>
      </c>
      <c r="F681" s="1436">
        <v>52215</v>
      </c>
      <c r="G681" s="1437">
        <f t="shared" si="120"/>
        <v>3</v>
      </c>
    </row>
    <row r="682" spans="1:7" ht="17.100000000000001" customHeight="1">
      <c r="A682" s="548"/>
      <c r="B682" s="741"/>
      <c r="C682" s="1647" t="s">
        <v>544</v>
      </c>
      <c r="D682" s="1599" t="s">
        <v>478</v>
      </c>
      <c r="E682" s="1436">
        <f>5986+8876</f>
        <v>14862</v>
      </c>
      <c r="F682" s="1436">
        <v>13434</v>
      </c>
      <c r="G682" s="1437">
        <f t="shared" si="120"/>
        <v>0.90391602745256361</v>
      </c>
    </row>
    <row r="683" spans="1:7" ht="17.100000000000001" customHeight="1">
      <c r="A683" s="548"/>
      <c r="B683" s="741"/>
      <c r="C683" s="1647" t="s">
        <v>545</v>
      </c>
      <c r="D683" s="1599" t="s">
        <v>478</v>
      </c>
      <c r="E683" s="1436">
        <f>1056+1567</f>
        <v>2623</v>
      </c>
      <c r="F683" s="1436">
        <v>2371</v>
      </c>
      <c r="G683" s="1437">
        <f t="shared" si="120"/>
        <v>0.90392680137247428</v>
      </c>
    </row>
    <row r="684" spans="1:7" ht="27.75" customHeight="1">
      <c r="A684" s="548"/>
      <c r="B684" s="741"/>
      <c r="C684" s="1647" t="s">
        <v>599</v>
      </c>
      <c r="D684" s="1599" t="s">
        <v>1028</v>
      </c>
      <c r="E684" s="1436">
        <v>2454</v>
      </c>
      <c r="F684" s="1436">
        <v>7362</v>
      </c>
      <c r="G684" s="1437">
        <f t="shared" si="120"/>
        <v>3</v>
      </c>
    </row>
    <row r="685" spans="1:7" ht="30" customHeight="1">
      <c r="A685" s="548"/>
      <c r="B685" s="741"/>
      <c r="C685" s="1647" t="s">
        <v>546</v>
      </c>
      <c r="D685" s="1599" t="s">
        <v>1028</v>
      </c>
      <c r="E685" s="1436">
        <f>844+1251</f>
        <v>2095</v>
      </c>
      <c r="F685" s="1436">
        <v>1914</v>
      </c>
      <c r="G685" s="1437">
        <f t="shared" si="120"/>
        <v>0.91360381861575179</v>
      </c>
    </row>
    <row r="686" spans="1:7" ht="28.5" customHeight="1">
      <c r="A686" s="548"/>
      <c r="B686" s="741"/>
      <c r="C686" s="1647" t="s">
        <v>547</v>
      </c>
      <c r="D686" s="1599" t="s">
        <v>1028</v>
      </c>
      <c r="E686" s="1436">
        <f>149+1702</f>
        <v>1851</v>
      </c>
      <c r="F686" s="1436">
        <v>338</v>
      </c>
      <c r="G686" s="1437">
        <f t="shared" si="120"/>
        <v>0.18260399783900594</v>
      </c>
    </row>
    <row r="687" spans="1:7" ht="17.100000000000001" customHeight="1">
      <c r="A687" s="548"/>
      <c r="B687" s="746"/>
      <c r="C687" s="1598" t="s">
        <v>673</v>
      </c>
      <c r="D687" s="1599" t="s">
        <v>482</v>
      </c>
      <c r="E687" s="1436">
        <v>240000</v>
      </c>
      <c r="F687" s="1436">
        <v>200000</v>
      </c>
      <c r="G687" s="1437">
        <f t="shared" si="120"/>
        <v>0.83333333333333337</v>
      </c>
    </row>
    <row r="688" spans="1:7" ht="17.100000000000001" hidden="1" customHeight="1">
      <c r="A688" s="548"/>
      <c r="B688" s="746"/>
      <c r="C688" s="1598" t="s">
        <v>548</v>
      </c>
      <c r="D688" s="1599" t="s">
        <v>482</v>
      </c>
      <c r="E688" s="1436">
        <v>300</v>
      </c>
      <c r="F688" s="1436">
        <v>0</v>
      </c>
      <c r="G688" s="1437">
        <f t="shared" si="120"/>
        <v>0</v>
      </c>
    </row>
    <row r="689" spans="1:7" ht="17.100000000000001" hidden="1" customHeight="1">
      <c r="A689" s="548"/>
      <c r="B689" s="746"/>
      <c r="C689" s="1598" t="s">
        <v>549</v>
      </c>
      <c r="D689" s="1599" t="s">
        <v>482</v>
      </c>
      <c r="E689" s="1436">
        <v>221</v>
      </c>
      <c r="F689" s="1436">
        <v>0</v>
      </c>
      <c r="G689" s="1437">
        <f t="shared" si="120"/>
        <v>0</v>
      </c>
    </row>
    <row r="690" spans="1:7" ht="17.100000000000001" hidden="1" customHeight="1">
      <c r="A690" s="548"/>
      <c r="B690" s="746"/>
      <c r="C690" s="1598" t="s">
        <v>600</v>
      </c>
      <c r="D690" s="1599" t="s">
        <v>487</v>
      </c>
      <c r="E690" s="1436">
        <v>0</v>
      </c>
      <c r="F690" s="1436">
        <v>0</v>
      </c>
      <c r="G690" s="1437" t="e">
        <f t="shared" si="120"/>
        <v>#DIV/0!</v>
      </c>
    </row>
    <row r="691" spans="1:7" ht="17.100000000000001" customHeight="1">
      <c r="A691" s="548"/>
      <c r="B691" s="746"/>
      <c r="C691" s="1598" t="s">
        <v>553</v>
      </c>
      <c r="D691" s="1599" t="s">
        <v>487</v>
      </c>
      <c r="E691" s="1436">
        <v>9180</v>
      </c>
      <c r="F691" s="1436">
        <v>17425</v>
      </c>
      <c r="G691" s="1437">
        <f t="shared" si="120"/>
        <v>1.8981481481481481</v>
      </c>
    </row>
    <row r="692" spans="1:7" ht="17.100000000000001" customHeight="1">
      <c r="A692" s="548"/>
      <c r="B692" s="746"/>
      <c r="C692" s="1598" t="s">
        <v>554</v>
      </c>
      <c r="D692" s="1599" t="s">
        <v>487</v>
      </c>
      <c r="E692" s="1436">
        <v>1620</v>
      </c>
      <c r="F692" s="1436">
        <v>3075</v>
      </c>
      <c r="G692" s="1437">
        <f t="shared" si="120"/>
        <v>1.8981481481481481</v>
      </c>
    </row>
    <row r="693" spans="1:7" ht="17.100000000000001" customHeight="1">
      <c r="A693" s="548"/>
      <c r="B693" s="746"/>
      <c r="C693" s="1598" t="s">
        <v>601</v>
      </c>
      <c r="D693" s="1599" t="s">
        <v>497</v>
      </c>
      <c r="E693" s="1436">
        <v>490000</v>
      </c>
      <c r="F693" s="1436">
        <v>220000</v>
      </c>
      <c r="G693" s="1437">
        <f t="shared" si="120"/>
        <v>0.44897959183673469</v>
      </c>
    </row>
    <row r="694" spans="1:7" ht="17.100000000000001" customHeight="1">
      <c r="A694" s="548"/>
      <c r="B694" s="746"/>
      <c r="C694" s="1598" t="s">
        <v>557</v>
      </c>
      <c r="D694" s="1599" t="s">
        <v>497</v>
      </c>
      <c r="E694" s="1436">
        <f>5100+51850</f>
        <v>56950</v>
      </c>
      <c r="F694" s="1436">
        <v>52429</v>
      </c>
      <c r="G694" s="1437">
        <f t="shared" si="120"/>
        <v>0.92061457418788406</v>
      </c>
    </row>
    <row r="695" spans="1:7" ht="17.100000000000001" customHeight="1">
      <c r="A695" s="548"/>
      <c r="B695" s="746"/>
      <c r="C695" s="1598" t="s">
        <v>558</v>
      </c>
      <c r="D695" s="1599" t="s">
        <v>497</v>
      </c>
      <c r="E695" s="1436">
        <f>900+9150</f>
        <v>10050</v>
      </c>
      <c r="F695" s="1436">
        <v>9253</v>
      </c>
      <c r="G695" s="1437">
        <f t="shared" si="120"/>
        <v>0.92069651741293534</v>
      </c>
    </row>
    <row r="696" spans="1:7" ht="16.5" hidden="1" customHeight="1">
      <c r="A696" s="548"/>
      <c r="B696" s="746"/>
      <c r="C696" s="1598" t="s">
        <v>674</v>
      </c>
      <c r="D696" s="1599" t="s">
        <v>649</v>
      </c>
      <c r="E696" s="1436">
        <v>10000</v>
      </c>
      <c r="F696" s="1436">
        <v>0</v>
      </c>
      <c r="G696" s="1437">
        <f t="shared" si="120"/>
        <v>0</v>
      </c>
    </row>
    <row r="697" spans="1:7" ht="16.5" customHeight="1">
      <c r="A697" s="548"/>
      <c r="B697" s="746"/>
      <c r="C697" s="1598" t="s">
        <v>675</v>
      </c>
      <c r="D697" s="1599" t="s">
        <v>649</v>
      </c>
      <c r="E697" s="1436">
        <v>3825</v>
      </c>
      <c r="F697" s="1436">
        <v>2550</v>
      </c>
      <c r="G697" s="1437">
        <f t="shared" si="120"/>
        <v>0.66666666666666663</v>
      </c>
    </row>
    <row r="698" spans="1:7" ht="16.5" customHeight="1">
      <c r="A698" s="548"/>
      <c r="B698" s="746"/>
      <c r="C698" s="1598" t="s">
        <v>648</v>
      </c>
      <c r="D698" s="1599" t="s">
        <v>649</v>
      </c>
      <c r="E698" s="1436">
        <v>675</v>
      </c>
      <c r="F698" s="1436">
        <v>450</v>
      </c>
      <c r="G698" s="1437">
        <f t="shared" si="120"/>
        <v>0.66666666666666663</v>
      </c>
    </row>
    <row r="699" spans="1:7" ht="16.5" hidden="1" customHeight="1">
      <c r="A699" s="548"/>
      <c r="B699" s="746"/>
      <c r="C699" s="1598" t="s">
        <v>676</v>
      </c>
      <c r="D699" s="1599" t="s">
        <v>501</v>
      </c>
      <c r="E699" s="1436">
        <v>20000</v>
      </c>
      <c r="F699" s="1436">
        <v>0</v>
      </c>
      <c r="G699" s="1437">
        <f t="shared" si="120"/>
        <v>0</v>
      </c>
    </row>
    <row r="700" spans="1:7" ht="16.5" hidden="1" customHeight="1">
      <c r="A700" s="548"/>
      <c r="B700" s="746"/>
      <c r="C700" s="1598" t="s">
        <v>559</v>
      </c>
      <c r="D700" s="1599" t="s">
        <v>501</v>
      </c>
      <c r="E700" s="1436"/>
      <c r="F700" s="1436"/>
      <c r="G700" s="1437" t="e">
        <f t="shared" si="120"/>
        <v>#DIV/0!</v>
      </c>
    </row>
    <row r="701" spans="1:7" ht="16.5" hidden="1" customHeight="1">
      <c r="A701" s="548"/>
      <c r="B701" s="746"/>
      <c r="C701" s="1598" t="s">
        <v>560</v>
      </c>
      <c r="D701" s="1599" t="s">
        <v>501</v>
      </c>
      <c r="E701" s="1436"/>
      <c r="F701" s="1436"/>
      <c r="G701" s="1437" t="e">
        <f t="shared" si="120"/>
        <v>#DIV/0!</v>
      </c>
    </row>
    <row r="702" spans="1:7" ht="17.100000000000001" customHeight="1">
      <c r="A702" s="548"/>
      <c r="B702" s="746"/>
      <c r="C702" s="1598" t="s">
        <v>602</v>
      </c>
      <c r="D702" s="1599" t="s">
        <v>505</v>
      </c>
      <c r="E702" s="1436">
        <v>10000</v>
      </c>
      <c r="F702" s="1436">
        <v>10000</v>
      </c>
      <c r="G702" s="1437">
        <f t="shared" si="120"/>
        <v>1</v>
      </c>
    </row>
    <row r="703" spans="1:7" ht="17.100000000000001" customHeight="1">
      <c r="A703" s="548"/>
      <c r="B703" s="746"/>
      <c r="C703" s="1608" t="s">
        <v>677</v>
      </c>
      <c r="D703" s="1613" t="s">
        <v>631</v>
      </c>
      <c r="E703" s="1436">
        <v>90000</v>
      </c>
      <c r="F703" s="1436">
        <v>90000</v>
      </c>
      <c r="G703" s="1437">
        <f t="shared" si="120"/>
        <v>1</v>
      </c>
    </row>
    <row r="704" spans="1:7" ht="17.100000000000001" customHeight="1">
      <c r="A704" s="548"/>
      <c r="B704" s="746"/>
      <c r="C704" s="1598" t="s">
        <v>650</v>
      </c>
      <c r="D704" s="1613" t="s">
        <v>631</v>
      </c>
      <c r="E704" s="1436">
        <v>12750</v>
      </c>
      <c r="F704" s="1436">
        <v>29750</v>
      </c>
      <c r="G704" s="1437">
        <f t="shared" si="120"/>
        <v>2.3333333333333335</v>
      </c>
    </row>
    <row r="705" spans="1:7" ht="17.100000000000001" customHeight="1">
      <c r="A705" s="548"/>
      <c r="B705" s="746"/>
      <c r="C705" s="1598" t="s">
        <v>651</v>
      </c>
      <c r="D705" s="1613" t="s">
        <v>631</v>
      </c>
      <c r="E705" s="1436">
        <v>2250</v>
      </c>
      <c r="F705" s="1436">
        <v>5250</v>
      </c>
      <c r="G705" s="1437">
        <f t="shared" si="120"/>
        <v>2.3333333333333335</v>
      </c>
    </row>
    <row r="706" spans="1:7" ht="40.5" hidden="1" customHeight="1">
      <c r="A706" s="548"/>
      <c r="B706" s="746"/>
      <c r="C706" s="1608" t="s">
        <v>589</v>
      </c>
      <c r="D706" s="1613" t="s">
        <v>590</v>
      </c>
      <c r="E706" s="1436">
        <v>17</v>
      </c>
      <c r="F706" s="1436">
        <v>0</v>
      </c>
      <c r="G706" s="1437">
        <f t="shared" si="120"/>
        <v>0</v>
      </c>
    </row>
    <row r="707" spans="1:7" ht="17.100000000000001" customHeight="1">
      <c r="A707" s="548"/>
      <c r="B707" s="746"/>
      <c r="C707" s="1648" t="s">
        <v>603</v>
      </c>
      <c r="D707" s="1649" t="s">
        <v>519</v>
      </c>
      <c r="E707" s="1436">
        <v>30000</v>
      </c>
      <c r="F707" s="1436">
        <v>30000</v>
      </c>
      <c r="G707" s="1437">
        <f t="shared" si="120"/>
        <v>1</v>
      </c>
    </row>
    <row r="708" spans="1:7" ht="17.100000000000001" customHeight="1">
      <c r="A708" s="548"/>
      <c r="B708" s="746"/>
      <c r="C708" s="2873"/>
      <c r="D708" s="2874"/>
      <c r="E708" s="1436"/>
      <c r="F708" s="1436"/>
      <c r="G708" s="1437"/>
    </row>
    <row r="709" spans="1:7" ht="17.100000000000001" customHeight="1">
      <c r="A709" s="548"/>
      <c r="B709" s="746"/>
      <c r="C709" s="2875" t="s">
        <v>523</v>
      </c>
      <c r="D709" s="2876"/>
      <c r="E709" s="1650">
        <f>E710</f>
        <v>1662001</v>
      </c>
      <c r="F709" s="1650">
        <f t="shared" ref="F709" si="122">F710</f>
        <v>12000</v>
      </c>
      <c r="G709" s="1485">
        <f t="shared" si="120"/>
        <v>7.2202122622068215E-3</v>
      </c>
    </row>
    <row r="710" spans="1:7" ht="17.100000000000001" customHeight="1">
      <c r="A710" s="548"/>
      <c r="B710" s="746"/>
      <c r="C710" s="2877" t="s">
        <v>524</v>
      </c>
      <c r="D710" s="2878"/>
      <c r="E710" s="1651">
        <f>SUM(E711:E714)</f>
        <v>1662001</v>
      </c>
      <c r="F710" s="1651">
        <f>SUM(F711:F714)</f>
        <v>12000</v>
      </c>
      <c r="G710" s="1437">
        <f t="shared" si="120"/>
        <v>7.2202122622068215E-3</v>
      </c>
    </row>
    <row r="711" spans="1:7" ht="17.100000000000001" customHeight="1">
      <c r="A711" s="548"/>
      <c r="B711" s="746"/>
      <c r="C711" s="1652" t="s">
        <v>625</v>
      </c>
      <c r="D711" s="1653" t="s">
        <v>526</v>
      </c>
      <c r="E711" s="1651">
        <v>12000</v>
      </c>
      <c r="F711" s="1651">
        <v>12000</v>
      </c>
      <c r="G711" s="1437">
        <f t="shared" si="120"/>
        <v>1</v>
      </c>
    </row>
    <row r="712" spans="1:7" ht="36" hidden="1" customHeight="1">
      <c r="A712" s="548"/>
      <c r="B712" s="746"/>
      <c r="C712" s="1562" t="s">
        <v>811</v>
      </c>
      <c r="D712" s="1654" t="s">
        <v>812</v>
      </c>
      <c r="E712" s="1651">
        <v>1600000</v>
      </c>
      <c r="F712" s="1651">
        <v>0</v>
      </c>
      <c r="G712" s="1437">
        <f t="shared" si="120"/>
        <v>0</v>
      </c>
    </row>
    <row r="713" spans="1:7" ht="36" hidden="1" customHeight="1">
      <c r="A713" s="548"/>
      <c r="B713" s="746"/>
      <c r="C713" s="1655" t="s">
        <v>720</v>
      </c>
      <c r="D713" s="1656" t="s">
        <v>721</v>
      </c>
      <c r="E713" s="602">
        <v>50000</v>
      </c>
      <c r="F713" s="602">
        <v>0</v>
      </c>
      <c r="G713" s="1437">
        <f t="shared" si="120"/>
        <v>0</v>
      </c>
    </row>
    <row r="714" spans="1:7" ht="30" hidden="1" customHeight="1">
      <c r="A714" s="548"/>
      <c r="B714" s="746"/>
      <c r="C714" s="1562" t="s">
        <v>612</v>
      </c>
      <c r="D714" s="1657" t="s">
        <v>706</v>
      </c>
      <c r="E714" s="1651">
        <v>1</v>
      </c>
      <c r="F714" s="1651">
        <v>0</v>
      </c>
      <c r="G714" s="1437">
        <f t="shared" si="120"/>
        <v>0</v>
      </c>
    </row>
    <row r="715" spans="1:7" ht="17.100000000000001" customHeight="1">
      <c r="A715" s="548"/>
      <c r="B715" s="746"/>
      <c r="C715" s="593"/>
      <c r="D715" s="582"/>
      <c r="E715" s="594"/>
      <c r="F715" s="594"/>
      <c r="G715" s="1438"/>
    </row>
    <row r="716" spans="1:7" ht="17.100000000000001" customHeight="1">
      <c r="A716" s="548"/>
      <c r="B716" s="746"/>
      <c r="C716" s="2848" t="s">
        <v>534</v>
      </c>
      <c r="D716" s="2872"/>
      <c r="E716" s="1436">
        <f>E717+E718</f>
        <v>12001</v>
      </c>
      <c r="F716" s="1436">
        <f>F717+F718</f>
        <v>12000</v>
      </c>
      <c r="G716" s="1437">
        <f t="shared" si="120"/>
        <v>0.99991667361053249</v>
      </c>
    </row>
    <row r="717" spans="1:7" ht="17.100000000000001" customHeight="1" thickBot="1">
      <c r="A717" s="548"/>
      <c r="B717" s="746"/>
      <c r="C717" s="1598" t="s">
        <v>625</v>
      </c>
      <c r="D717" s="1599" t="s">
        <v>526</v>
      </c>
      <c r="E717" s="1436">
        <v>12000</v>
      </c>
      <c r="F717" s="1436">
        <v>12000</v>
      </c>
      <c r="G717" s="1437">
        <f t="shared" si="120"/>
        <v>1</v>
      </c>
    </row>
    <row r="718" spans="1:7" ht="31.5" hidden="1" customHeight="1" thickBot="1">
      <c r="A718" s="548"/>
      <c r="B718" s="746"/>
      <c r="C718" s="555" t="s">
        <v>612</v>
      </c>
      <c r="D718" s="1456" t="s">
        <v>706</v>
      </c>
      <c r="E718" s="551">
        <v>1</v>
      </c>
      <c r="F718" s="551">
        <v>0</v>
      </c>
      <c r="G718" s="1438">
        <f t="shared" si="120"/>
        <v>0</v>
      </c>
    </row>
    <row r="719" spans="1:7" ht="18" customHeight="1" thickBot="1">
      <c r="A719" s="545" t="s">
        <v>4</v>
      </c>
      <c r="B719" s="546"/>
      <c r="C719" s="1416"/>
      <c r="D719" s="1417" t="s">
        <v>678</v>
      </c>
      <c r="E719" s="547">
        <f>SUM(E720,E733,E751,E847,E858,E939,E958,E924,E843)</f>
        <v>153039666</v>
      </c>
      <c r="F719" s="547">
        <f>SUM(F720,F733,F751,F847,F858,F939,F958,F924,F843)</f>
        <v>143141590</v>
      </c>
      <c r="G719" s="1418">
        <f t="shared" si="120"/>
        <v>0.93532346052035953</v>
      </c>
    </row>
    <row r="720" spans="1:7" ht="17.100000000000001" customHeight="1" thickBot="1">
      <c r="A720" s="548"/>
      <c r="B720" s="559" t="s">
        <v>679</v>
      </c>
      <c r="C720" s="560"/>
      <c r="D720" s="561" t="s">
        <v>313</v>
      </c>
      <c r="E720" s="562">
        <f t="shared" ref="E720:F721" si="123">E721</f>
        <v>1152328</v>
      </c>
      <c r="F720" s="562">
        <f t="shared" si="123"/>
        <v>1189847</v>
      </c>
      <c r="G720" s="1478">
        <f t="shared" si="120"/>
        <v>1.0325593060309217</v>
      </c>
    </row>
    <row r="721" spans="1:7" ht="17.100000000000001" customHeight="1">
      <c r="A721" s="548"/>
      <c r="B721" s="2771"/>
      <c r="C721" s="2853" t="s">
        <v>470</v>
      </c>
      <c r="D721" s="2853"/>
      <c r="E721" s="549">
        <f t="shared" si="123"/>
        <v>1152328</v>
      </c>
      <c r="F721" s="549">
        <f t="shared" si="123"/>
        <v>1189847</v>
      </c>
      <c r="G721" s="1424">
        <f t="shared" si="120"/>
        <v>1.0325593060309217</v>
      </c>
    </row>
    <row r="722" spans="1:7" ht="17.100000000000001" customHeight="1">
      <c r="A722" s="548"/>
      <c r="B722" s="2771"/>
      <c r="C722" s="2854" t="s">
        <v>471</v>
      </c>
      <c r="D722" s="2854"/>
      <c r="E722" s="1436">
        <f>E723+E730</f>
        <v>1152328</v>
      </c>
      <c r="F722" s="1436">
        <f t="shared" ref="F722" si="124">F723+F730</f>
        <v>1189847</v>
      </c>
      <c r="G722" s="1437">
        <f t="shared" si="120"/>
        <v>1.0325593060309217</v>
      </c>
    </row>
    <row r="723" spans="1:7" ht="17.100000000000001" customHeight="1">
      <c r="A723" s="548"/>
      <c r="B723" s="2771"/>
      <c r="C723" s="2861" t="s">
        <v>472</v>
      </c>
      <c r="D723" s="2861"/>
      <c r="E723" s="1461">
        <f>SUM(E724:E728)</f>
        <v>1133460</v>
      </c>
      <c r="F723" s="1461">
        <f>SUM(F724:F728)</f>
        <v>1138422</v>
      </c>
      <c r="G723" s="1462">
        <f t="shared" si="120"/>
        <v>1.0043777460166217</v>
      </c>
    </row>
    <row r="724" spans="1:7" ht="17.100000000000001" customHeight="1">
      <c r="A724" s="548"/>
      <c r="B724" s="2771"/>
      <c r="C724" s="1598" t="s">
        <v>473</v>
      </c>
      <c r="D724" s="1599" t="s">
        <v>474</v>
      </c>
      <c r="E724" s="1436">
        <v>885204</v>
      </c>
      <c r="F724" s="1436">
        <v>899821</v>
      </c>
      <c r="G724" s="1437">
        <f t="shared" si="120"/>
        <v>1.0165125778916497</v>
      </c>
    </row>
    <row r="725" spans="1:7" ht="17.100000000000001" customHeight="1">
      <c r="A725" s="548"/>
      <c r="B725" s="2771"/>
      <c r="C725" s="1598" t="s">
        <v>475</v>
      </c>
      <c r="D725" s="1599" t="s">
        <v>476</v>
      </c>
      <c r="E725" s="1436">
        <v>67240</v>
      </c>
      <c r="F725" s="1436">
        <v>71800</v>
      </c>
      <c r="G725" s="1437">
        <f t="shared" si="120"/>
        <v>1.0678167757287329</v>
      </c>
    </row>
    <row r="726" spans="1:7" ht="17.100000000000001" customHeight="1">
      <c r="A726" s="548"/>
      <c r="B726" s="746"/>
      <c r="C726" s="1598" t="s">
        <v>477</v>
      </c>
      <c r="D726" s="1599" t="s">
        <v>478</v>
      </c>
      <c r="E726" s="1436">
        <v>155601</v>
      </c>
      <c r="F726" s="1436">
        <v>143217</v>
      </c>
      <c r="G726" s="1437">
        <f t="shared" si="120"/>
        <v>0.92041182254612763</v>
      </c>
    </row>
    <row r="727" spans="1:7" ht="28.5" customHeight="1">
      <c r="A727" s="548"/>
      <c r="B727" s="746"/>
      <c r="C727" s="1598" t="s">
        <v>479</v>
      </c>
      <c r="D727" s="1599" t="s">
        <v>1028</v>
      </c>
      <c r="E727" s="1436">
        <v>22048</v>
      </c>
      <c r="F727" s="1436">
        <v>23584</v>
      </c>
      <c r="G727" s="1437">
        <f t="shared" si="120"/>
        <v>1.0696661828737299</v>
      </c>
    </row>
    <row r="728" spans="1:7" ht="18" hidden="1" customHeight="1">
      <c r="A728" s="548"/>
      <c r="B728" s="746"/>
      <c r="C728" s="1598" t="s">
        <v>481</v>
      </c>
      <c r="D728" s="1599" t="s">
        <v>482</v>
      </c>
      <c r="E728" s="1436">
        <v>3367</v>
      </c>
      <c r="F728" s="1436">
        <v>0</v>
      </c>
      <c r="G728" s="1437">
        <f t="shared" si="120"/>
        <v>0</v>
      </c>
    </row>
    <row r="729" spans="1:7" ht="17.100000000000001" customHeight="1">
      <c r="A729" s="548"/>
      <c r="B729" s="746"/>
      <c r="C729" s="553"/>
      <c r="D729" s="553"/>
      <c r="E729" s="550"/>
      <c r="F729" s="550"/>
      <c r="G729" s="1433"/>
    </row>
    <row r="730" spans="1:7" ht="17.100000000000001" customHeight="1">
      <c r="A730" s="548"/>
      <c r="B730" s="746"/>
      <c r="C730" s="2848" t="s">
        <v>483</v>
      </c>
      <c r="D730" s="2848"/>
      <c r="E730" s="1461">
        <f>SUM(E731:E732)</f>
        <v>18868</v>
      </c>
      <c r="F730" s="1461">
        <f>SUM(F731:F732)</f>
        <v>51425</v>
      </c>
      <c r="G730" s="1462">
        <f t="shared" si="120"/>
        <v>2.7255140979436083</v>
      </c>
    </row>
    <row r="731" spans="1:7" ht="17.100000000000001" customHeight="1">
      <c r="A731" s="548"/>
      <c r="B731" s="746"/>
      <c r="C731" s="1598" t="s">
        <v>484</v>
      </c>
      <c r="D731" s="1599" t="s">
        <v>485</v>
      </c>
      <c r="E731" s="1436">
        <v>18868</v>
      </c>
      <c r="F731" s="1436">
        <v>32340</v>
      </c>
      <c r="G731" s="1437">
        <f t="shared" si="120"/>
        <v>1.7140131439474242</v>
      </c>
    </row>
    <row r="732" spans="1:7" ht="17.100000000000001" customHeight="1" thickBot="1">
      <c r="A732" s="548"/>
      <c r="B732" s="746"/>
      <c r="C732" s="555" t="s">
        <v>508</v>
      </c>
      <c r="D732" s="1456" t="s">
        <v>509</v>
      </c>
      <c r="E732" s="551">
        <v>0</v>
      </c>
      <c r="F732" s="551">
        <v>19085</v>
      </c>
      <c r="G732" s="1438"/>
    </row>
    <row r="733" spans="1:7" ht="17.100000000000001" customHeight="1" thickBot="1">
      <c r="A733" s="548"/>
      <c r="B733" s="559" t="s">
        <v>680</v>
      </c>
      <c r="C733" s="560"/>
      <c r="D733" s="561" t="s">
        <v>681</v>
      </c>
      <c r="E733" s="562">
        <f>E734+E748</f>
        <v>1061505</v>
      </c>
      <c r="F733" s="562">
        <f t="shared" ref="F733" si="125">F734+F748</f>
        <v>1083279</v>
      </c>
      <c r="G733" s="1478">
        <f t="shared" si="120"/>
        <v>1.0205123857165064</v>
      </c>
    </row>
    <row r="734" spans="1:7" ht="17.100000000000001" customHeight="1">
      <c r="A734" s="548"/>
      <c r="B734" s="746"/>
      <c r="C734" s="2853" t="s">
        <v>470</v>
      </c>
      <c r="D734" s="2853"/>
      <c r="E734" s="549">
        <f t="shared" ref="E734:F734" si="126">E735+E745</f>
        <v>1061505</v>
      </c>
      <c r="F734" s="549">
        <f t="shared" si="126"/>
        <v>1083279</v>
      </c>
      <c r="G734" s="1424">
        <f t="shared" si="120"/>
        <v>1.0205123857165064</v>
      </c>
    </row>
    <row r="735" spans="1:7" ht="17.100000000000001" customHeight="1">
      <c r="A735" s="548"/>
      <c r="B735" s="746"/>
      <c r="C735" s="2854" t="s">
        <v>471</v>
      </c>
      <c r="D735" s="2854"/>
      <c r="E735" s="1436">
        <f t="shared" ref="E735:F735" si="127">E736+E739</f>
        <v>166400</v>
      </c>
      <c r="F735" s="1436">
        <f t="shared" si="127"/>
        <v>175279</v>
      </c>
      <c r="G735" s="1437">
        <f t="shared" si="120"/>
        <v>1.0533593750000001</v>
      </c>
    </row>
    <row r="736" spans="1:7" ht="17.100000000000001" customHeight="1">
      <c r="A736" s="548"/>
      <c r="B736" s="746"/>
      <c r="C736" s="2861" t="s">
        <v>472</v>
      </c>
      <c r="D736" s="2861"/>
      <c r="E736" s="1461">
        <f t="shared" ref="E736:F736" si="128">E737</f>
        <v>5100</v>
      </c>
      <c r="F736" s="1461">
        <f t="shared" si="128"/>
        <v>3253</v>
      </c>
      <c r="G736" s="1462">
        <f t="shared" si="120"/>
        <v>0.63784313725490194</v>
      </c>
    </row>
    <row r="737" spans="1:7" ht="17.100000000000001" customHeight="1">
      <c r="A737" s="548"/>
      <c r="B737" s="746"/>
      <c r="C737" s="1598" t="s">
        <v>481</v>
      </c>
      <c r="D737" s="1599" t="s">
        <v>482</v>
      </c>
      <c r="E737" s="1436">
        <v>5100</v>
      </c>
      <c r="F737" s="1436">
        <v>3253</v>
      </c>
      <c r="G737" s="1437">
        <f t="shared" si="120"/>
        <v>0.63784313725490194</v>
      </c>
    </row>
    <row r="738" spans="1:7" ht="17.100000000000001" customHeight="1">
      <c r="A738" s="548"/>
      <c r="B738" s="746"/>
      <c r="C738" s="553"/>
      <c r="D738" s="553"/>
      <c r="E738" s="550"/>
      <c r="F738" s="550"/>
      <c r="G738" s="1433"/>
    </row>
    <row r="739" spans="1:7" ht="17.100000000000001" customHeight="1">
      <c r="A739" s="548"/>
      <c r="B739" s="746"/>
      <c r="C739" s="2848" t="s">
        <v>483</v>
      </c>
      <c r="D739" s="2848"/>
      <c r="E739" s="1461">
        <f t="shared" ref="E739:F739" si="129">SUM(E740:E743)</f>
        <v>161300</v>
      </c>
      <c r="F739" s="1461">
        <f t="shared" si="129"/>
        <v>172026</v>
      </c>
      <c r="G739" s="1462">
        <f t="shared" si="120"/>
        <v>1.06649721016739</v>
      </c>
    </row>
    <row r="740" spans="1:7" ht="17.100000000000001" customHeight="1">
      <c r="A740" s="548"/>
      <c r="B740" s="746"/>
      <c r="C740" s="1598" t="s">
        <v>486</v>
      </c>
      <c r="D740" s="1599" t="s">
        <v>487</v>
      </c>
      <c r="E740" s="1436">
        <v>51300</v>
      </c>
      <c r="F740" s="1436">
        <v>47326</v>
      </c>
      <c r="G740" s="1437">
        <f t="shared" si="120"/>
        <v>0.92253411306042887</v>
      </c>
    </row>
    <row r="741" spans="1:7" ht="17.100000000000001" customHeight="1">
      <c r="A741" s="548"/>
      <c r="B741" s="746"/>
      <c r="C741" s="1598" t="s">
        <v>488</v>
      </c>
      <c r="D741" s="1599" t="s">
        <v>489</v>
      </c>
      <c r="E741" s="1436">
        <v>10000</v>
      </c>
      <c r="F741" s="1436">
        <v>12200</v>
      </c>
      <c r="G741" s="1437">
        <f t="shared" si="120"/>
        <v>1.22</v>
      </c>
    </row>
    <row r="742" spans="1:7" ht="17.100000000000001" customHeight="1">
      <c r="A742" s="548"/>
      <c r="B742" s="746"/>
      <c r="C742" s="1598" t="s">
        <v>496</v>
      </c>
      <c r="D742" s="1599" t="s">
        <v>497</v>
      </c>
      <c r="E742" s="1436">
        <v>95000</v>
      </c>
      <c r="F742" s="1436">
        <v>107400</v>
      </c>
      <c r="G742" s="1437">
        <f t="shared" si="120"/>
        <v>1.1305263157894736</v>
      </c>
    </row>
    <row r="743" spans="1:7" ht="17.100000000000001" customHeight="1">
      <c r="A743" s="548"/>
      <c r="B743" s="746"/>
      <c r="C743" s="1598" t="s">
        <v>498</v>
      </c>
      <c r="D743" s="1599" t="s">
        <v>499</v>
      </c>
      <c r="E743" s="1436">
        <v>5000</v>
      </c>
      <c r="F743" s="1436">
        <v>5100</v>
      </c>
      <c r="G743" s="1437">
        <f t="shared" si="120"/>
        <v>1.02</v>
      </c>
    </row>
    <row r="744" spans="1:7" ht="17.100000000000001" customHeight="1">
      <c r="A744" s="548"/>
      <c r="B744" s="746"/>
      <c r="C744" s="595"/>
      <c r="D744" s="1658"/>
      <c r="E744" s="574"/>
      <c r="F744" s="574"/>
      <c r="G744" s="1510"/>
    </row>
    <row r="745" spans="1:7" ht="17.100000000000001" customHeight="1">
      <c r="A745" s="548"/>
      <c r="B745" s="746"/>
      <c r="C745" s="2852" t="s">
        <v>520</v>
      </c>
      <c r="D745" s="2852"/>
      <c r="E745" s="564">
        <f t="shared" ref="E745:F745" si="130">E746</f>
        <v>895105</v>
      </c>
      <c r="F745" s="564">
        <f t="shared" si="130"/>
        <v>908000</v>
      </c>
      <c r="G745" s="1497">
        <f t="shared" si="120"/>
        <v>1.0144061311242816</v>
      </c>
    </row>
    <row r="746" spans="1:7" ht="17.100000000000001" customHeight="1" thickBot="1">
      <c r="A746" s="548"/>
      <c r="B746" s="746"/>
      <c r="C746" s="1608" t="s">
        <v>682</v>
      </c>
      <c r="D746" s="1613" t="s">
        <v>683</v>
      </c>
      <c r="E746" s="1564">
        <v>895105</v>
      </c>
      <c r="F746" s="1564">
        <v>908000</v>
      </c>
      <c r="G746" s="1561">
        <f t="shared" si="120"/>
        <v>1.0144061311242816</v>
      </c>
    </row>
    <row r="747" spans="1:7" ht="17.100000000000001" hidden="1" customHeight="1">
      <c r="A747" s="548"/>
      <c r="B747" s="746"/>
      <c r="C747" s="2873"/>
      <c r="D747" s="2874"/>
      <c r="E747" s="1564"/>
      <c r="F747" s="1564"/>
      <c r="G747" s="1561"/>
    </row>
    <row r="748" spans="1:7" ht="17.100000000000001" hidden="1" customHeight="1">
      <c r="A748" s="548"/>
      <c r="B748" s="746"/>
      <c r="C748" s="2875" t="s">
        <v>523</v>
      </c>
      <c r="D748" s="2876"/>
      <c r="E748" s="1650">
        <f>E749</f>
        <v>0</v>
      </c>
      <c r="F748" s="1650">
        <f t="shared" ref="F748" si="131">F749</f>
        <v>0</v>
      </c>
      <c r="G748" s="1485" t="e">
        <f t="shared" si="120"/>
        <v>#DIV/0!</v>
      </c>
    </row>
    <row r="749" spans="1:7" ht="17.100000000000001" hidden="1" customHeight="1">
      <c r="A749" s="548"/>
      <c r="B749" s="746"/>
      <c r="C749" s="2877" t="s">
        <v>524</v>
      </c>
      <c r="D749" s="2878"/>
      <c r="E749" s="1651">
        <f>SUM(E750)</f>
        <v>0</v>
      </c>
      <c r="F749" s="1651">
        <f t="shared" ref="F749" si="132">SUM(F750)</f>
        <v>0</v>
      </c>
      <c r="G749" s="1437" t="e">
        <f t="shared" si="120"/>
        <v>#DIV/0!</v>
      </c>
    </row>
    <row r="750" spans="1:7" ht="17.100000000000001" hidden="1" customHeight="1" thickBot="1">
      <c r="A750" s="548"/>
      <c r="B750" s="746"/>
      <c r="C750" s="1659" t="s">
        <v>525</v>
      </c>
      <c r="D750" s="1660" t="s">
        <v>571</v>
      </c>
      <c r="E750" s="1661"/>
      <c r="F750" s="1661">
        <v>0</v>
      </c>
      <c r="G750" s="1561" t="e">
        <f t="shared" si="120"/>
        <v>#DIV/0!</v>
      </c>
    </row>
    <row r="751" spans="1:7" ht="17.100000000000001" customHeight="1" thickBot="1">
      <c r="A751" s="548"/>
      <c r="B751" s="559" t="s">
        <v>684</v>
      </c>
      <c r="C751" s="560"/>
      <c r="D751" s="561" t="s">
        <v>315</v>
      </c>
      <c r="E751" s="562">
        <f>E752+E828</f>
        <v>112583658</v>
      </c>
      <c r="F751" s="562">
        <f t="shared" ref="F751" si="133">F752+F828</f>
        <v>107090616</v>
      </c>
      <c r="G751" s="1478">
        <f t="shared" si="120"/>
        <v>0.95120924210865487</v>
      </c>
    </row>
    <row r="752" spans="1:7" ht="17.100000000000001" customHeight="1">
      <c r="A752" s="548"/>
      <c r="B752" s="746"/>
      <c r="C752" s="2879" t="s">
        <v>685</v>
      </c>
      <c r="D752" s="2879"/>
      <c r="E752" s="549">
        <f>E753+E784+E787</f>
        <v>93482249</v>
      </c>
      <c r="F752" s="549">
        <f>F753+F784+F787</f>
        <v>99753117</v>
      </c>
      <c r="G752" s="1424">
        <f t="shared" si="120"/>
        <v>1.0670808422677123</v>
      </c>
    </row>
    <row r="753" spans="1:7" ht="17.100000000000001" customHeight="1">
      <c r="A753" s="548"/>
      <c r="B753" s="746"/>
      <c r="C753" s="2880" t="s">
        <v>471</v>
      </c>
      <c r="D753" s="2880"/>
      <c r="E753" s="564">
        <f>E754+E761</f>
        <v>56411290</v>
      </c>
      <c r="F753" s="564">
        <f>F754+F761</f>
        <v>61954795</v>
      </c>
      <c r="G753" s="1497">
        <f t="shared" si="120"/>
        <v>1.0982694244361368</v>
      </c>
    </row>
    <row r="754" spans="1:7" ht="17.100000000000001" customHeight="1">
      <c r="A754" s="548"/>
      <c r="B754" s="746"/>
      <c r="C754" s="2881" t="s">
        <v>472</v>
      </c>
      <c r="D754" s="2881"/>
      <c r="E754" s="577">
        <f t="shared" ref="E754" si="134">SUM(E755:E759)</f>
        <v>45162887</v>
      </c>
      <c r="F754" s="577">
        <f>SUM(F755:F759)</f>
        <v>50426024</v>
      </c>
      <c r="G754" s="1543">
        <f t="shared" si="120"/>
        <v>1.1165367705567626</v>
      </c>
    </row>
    <row r="755" spans="1:7" ht="17.100000000000001" customHeight="1">
      <c r="A755" s="548"/>
      <c r="B755" s="746"/>
      <c r="C755" s="1662" t="s">
        <v>473</v>
      </c>
      <c r="D755" s="1663" t="s">
        <v>474</v>
      </c>
      <c r="E755" s="1436">
        <v>35252349</v>
      </c>
      <c r="F755" s="1436">
        <v>39653283</v>
      </c>
      <c r="G755" s="1437">
        <f t="shared" si="120"/>
        <v>1.1248408723061263</v>
      </c>
    </row>
    <row r="756" spans="1:7" ht="17.100000000000001" customHeight="1">
      <c r="A756" s="548"/>
      <c r="B756" s="746"/>
      <c r="C756" s="1662" t="s">
        <v>475</v>
      </c>
      <c r="D756" s="1663" t="s">
        <v>476</v>
      </c>
      <c r="E756" s="1436">
        <v>2759463</v>
      </c>
      <c r="F756" s="1436">
        <v>2842247</v>
      </c>
      <c r="G756" s="1437">
        <f t="shared" si="120"/>
        <v>1.0300000398628284</v>
      </c>
    </row>
    <row r="757" spans="1:7" ht="17.100000000000001" customHeight="1">
      <c r="A757" s="548"/>
      <c r="B757" s="746"/>
      <c r="C757" s="1662" t="s">
        <v>477</v>
      </c>
      <c r="D757" s="1663" t="s">
        <v>478</v>
      </c>
      <c r="E757" s="1436">
        <f>6147554+13167</f>
        <v>6160721</v>
      </c>
      <c r="F757" s="1436">
        <v>6846866</v>
      </c>
      <c r="G757" s="1437">
        <f t="shared" si="120"/>
        <v>1.1113741394878944</v>
      </c>
    </row>
    <row r="758" spans="1:7" ht="27" customHeight="1">
      <c r="A758" s="548"/>
      <c r="B758" s="746"/>
      <c r="C758" s="1662" t="s">
        <v>479</v>
      </c>
      <c r="D758" s="1663" t="s">
        <v>1028</v>
      </c>
      <c r="E758" s="1436">
        <f>866599+1372</f>
        <v>867971</v>
      </c>
      <c r="F758" s="1436">
        <v>1032628</v>
      </c>
      <c r="G758" s="1437">
        <f t="shared" si="120"/>
        <v>1.1897033426231982</v>
      </c>
    </row>
    <row r="759" spans="1:7" ht="17.100000000000001" customHeight="1">
      <c r="A759" s="548"/>
      <c r="B759" s="746"/>
      <c r="C759" s="1662" t="s">
        <v>481</v>
      </c>
      <c r="D759" s="1663" t="s">
        <v>482</v>
      </c>
      <c r="E759" s="1436">
        <f>46633+75750</f>
        <v>122383</v>
      </c>
      <c r="F759" s="1436">
        <v>51000</v>
      </c>
      <c r="G759" s="1437">
        <f t="shared" ref="G759:G828" si="135">F759/E759</f>
        <v>0.41672454507570494</v>
      </c>
    </row>
    <row r="760" spans="1:7" ht="17.100000000000001" customHeight="1">
      <c r="A760" s="548"/>
      <c r="B760" s="746"/>
      <c r="C760" s="553"/>
      <c r="D760" s="553"/>
      <c r="E760" s="550"/>
      <c r="F760" s="550"/>
      <c r="G760" s="1433"/>
    </row>
    <row r="761" spans="1:7" ht="17.100000000000001" customHeight="1">
      <c r="A761" s="548"/>
      <c r="B761" s="746"/>
      <c r="C761" s="2883" t="s">
        <v>483</v>
      </c>
      <c r="D761" s="2883"/>
      <c r="E761" s="1461">
        <f>SUM(E762:E782)</f>
        <v>11248403</v>
      </c>
      <c r="F761" s="1461">
        <f>SUM(F762:F782)</f>
        <v>11528771</v>
      </c>
      <c r="G761" s="1462">
        <f t="shared" si="135"/>
        <v>1.0249251382618492</v>
      </c>
    </row>
    <row r="762" spans="1:7" ht="17.100000000000001" customHeight="1">
      <c r="A762" s="548"/>
      <c r="B762" s="746"/>
      <c r="C762" s="1664" t="s">
        <v>484</v>
      </c>
      <c r="D762" s="1663" t="s">
        <v>485</v>
      </c>
      <c r="E762" s="564">
        <v>495000</v>
      </c>
      <c r="F762" s="564">
        <v>504900</v>
      </c>
      <c r="G762" s="1497">
        <f t="shared" si="135"/>
        <v>1.02</v>
      </c>
    </row>
    <row r="763" spans="1:7" ht="17.100000000000001" customHeight="1">
      <c r="A763" s="548"/>
      <c r="B763" s="746"/>
      <c r="C763" s="1662" t="s">
        <v>486</v>
      </c>
      <c r="D763" s="1663" t="s">
        <v>487</v>
      </c>
      <c r="E763" s="564">
        <f>25000+2619097</f>
        <v>2644097</v>
      </c>
      <c r="F763" s="564">
        <f>25000+3815279</f>
        <v>3840279</v>
      </c>
      <c r="G763" s="1497">
        <f t="shared" si="135"/>
        <v>1.4523971699979237</v>
      </c>
    </row>
    <row r="764" spans="1:7" ht="17.100000000000001" customHeight="1">
      <c r="A764" s="548"/>
      <c r="B764" s="746"/>
      <c r="C764" s="1662" t="s">
        <v>488</v>
      </c>
      <c r="D764" s="1663" t="s">
        <v>489</v>
      </c>
      <c r="E764" s="564">
        <v>80000</v>
      </c>
      <c r="F764" s="564">
        <v>81600</v>
      </c>
      <c r="G764" s="1497">
        <f t="shared" si="135"/>
        <v>1.02</v>
      </c>
    </row>
    <row r="765" spans="1:7" ht="17.100000000000001" customHeight="1">
      <c r="A765" s="548"/>
      <c r="B765" s="746"/>
      <c r="C765" s="1662" t="s">
        <v>490</v>
      </c>
      <c r="D765" s="1663" t="s">
        <v>491</v>
      </c>
      <c r="E765" s="564">
        <v>1825000</v>
      </c>
      <c r="F765" s="564">
        <v>1861500</v>
      </c>
      <c r="G765" s="1497">
        <f t="shared" si="135"/>
        <v>1.02</v>
      </c>
    </row>
    <row r="766" spans="1:7" ht="17.100000000000001" customHeight="1">
      <c r="A766" s="548"/>
      <c r="B766" s="746"/>
      <c r="C766" s="1662" t="s">
        <v>492</v>
      </c>
      <c r="D766" s="1663" t="s">
        <v>493</v>
      </c>
      <c r="E766" s="564">
        <v>541500</v>
      </c>
      <c r="F766" s="564">
        <v>756330</v>
      </c>
      <c r="G766" s="1497">
        <f t="shared" si="135"/>
        <v>1.3967313019390581</v>
      </c>
    </row>
    <row r="767" spans="1:7" ht="17.100000000000001" customHeight="1">
      <c r="A767" s="548"/>
      <c r="B767" s="746"/>
      <c r="C767" s="1662" t="s">
        <v>494</v>
      </c>
      <c r="D767" s="1663" t="s">
        <v>495</v>
      </c>
      <c r="E767" s="564">
        <v>60000</v>
      </c>
      <c r="F767" s="564">
        <v>61200</v>
      </c>
      <c r="G767" s="1497">
        <f t="shared" si="135"/>
        <v>1.02</v>
      </c>
    </row>
    <row r="768" spans="1:7" ht="17.100000000000001" customHeight="1">
      <c r="A768" s="548"/>
      <c r="B768" s="746"/>
      <c r="C768" s="1662" t="s">
        <v>496</v>
      </c>
      <c r="D768" s="1663" t="s">
        <v>497</v>
      </c>
      <c r="E768" s="564">
        <f>45000+2006650+690000</f>
        <v>2741650</v>
      </c>
      <c r="F768" s="564">
        <f>46400+1555083</f>
        <v>1601483</v>
      </c>
      <c r="G768" s="1497">
        <f t="shared" si="135"/>
        <v>0.58413108894278998</v>
      </c>
    </row>
    <row r="769" spans="1:7" ht="16.5" customHeight="1">
      <c r="A769" s="548"/>
      <c r="B769" s="746"/>
      <c r="C769" s="1662" t="s">
        <v>498</v>
      </c>
      <c r="D769" s="1663" t="s">
        <v>499</v>
      </c>
      <c r="E769" s="564">
        <v>190000</v>
      </c>
      <c r="F769" s="564">
        <v>193800</v>
      </c>
      <c r="G769" s="1497">
        <f t="shared" si="135"/>
        <v>1.02</v>
      </c>
    </row>
    <row r="770" spans="1:7" ht="17.100000000000001" customHeight="1">
      <c r="A770" s="548"/>
      <c r="B770" s="746"/>
      <c r="C770" s="1662" t="s">
        <v>686</v>
      </c>
      <c r="D770" s="1663" t="s">
        <v>649</v>
      </c>
      <c r="E770" s="564">
        <v>10000</v>
      </c>
      <c r="F770" s="564">
        <v>10200</v>
      </c>
      <c r="G770" s="1497">
        <f t="shared" si="135"/>
        <v>1.02</v>
      </c>
    </row>
    <row r="771" spans="1:7" ht="17.100000000000001" customHeight="1">
      <c r="A771" s="548"/>
      <c r="B771" s="746"/>
      <c r="C771" s="1662" t="s">
        <v>500</v>
      </c>
      <c r="D771" s="1663" t="s">
        <v>501</v>
      </c>
      <c r="E771" s="564">
        <v>60000</v>
      </c>
      <c r="F771" s="564">
        <v>61200</v>
      </c>
      <c r="G771" s="1497">
        <f t="shared" si="135"/>
        <v>1.02</v>
      </c>
    </row>
    <row r="772" spans="1:7" ht="24.75" hidden="1" customHeight="1">
      <c r="A772" s="548"/>
      <c r="B772" s="746"/>
      <c r="C772" s="1662" t="s">
        <v>502</v>
      </c>
      <c r="D772" s="1663" t="s">
        <v>503</v>
      </c>
      <c r="E772" s="564">
        <v>60000</v>
      </c>
      <c r="F772" s="564">
        <v>0</v>
      </c>
      <c r="G772" s="1497">
        <f t="shared" si="135"/>
        <v>0</v>
      </c>
    </row>
    <row r="773" spans="1:7" ht="17.100000000000001" customHeight="1">
      <c r="A773" s="548"/>
      <c r="B773" s="746"/>
      <c r="C773" s="1662" t="s">
        <v>504</v>
      </c>
      <c r="D773" s="1663" t="s">
        <v>505</v>
      </c>
      <c r="E773" s="564">
        <v>150000</v>
      </c>
      <c r="F773" s="564">
        <v>153000</v>
      </c>
      <c r="G773" s="1497">
        <f t="shared" si="135"/>
        <v>1.02</v>
      </c>
    </row>
    <row r="774" spans="1:7" ht="17.100000000000001" customHeight="1">
      <c r="A774" s="548"/>
      <c r="B774" s="746"/>
      <c r="C774" s="1662" t="s">
        <v>630</v>
      </c>
      <c r="D774" s="1663" t="s">
        <v>631</v>
      </c>
      <c r="E774" s="564">
        <v>250000</v>
      </c>
      <c r="F774" s="564">
        <v>255000</v>
      </c>
      <c r="G774" s="1497">
        <f t="shared" si="135"/>
        <v>1.02</v>
      </c>
    </row>
    <row r="775" spans="1:7" ht="17.100000000000001" customHeight="1">
      <c r="A775" s="548"/>
      <c r="B775" s="746"/>
      <c r="C775" s="1662" t="s">
        <v>506</v>
      </c>
      <c r="D775" s="1663" t="s">
        <v>507</v>
      </c>
      <c r="E775" s="564">
        <v>150000</v>
      </c>
      <c r="F775" s="564">
        <v>153000</v>
      </c>
      <c r="G775" s="1497">
        <f t="shared" si="135"/>
        <v>1.02</v>
      </c>
    </row>
    <row r="776" spans="1:7" ht="17.100000000000001" customHeight="1">
      <c r="A776" s="548"/>
      <c r="B776" s="746"/>
      <c r="C776" s="1662" t="s">
        <v>508</v>
      </c>
      <c r="D776" s="1663" t="s">
        <v>509</v>
      </c>
      <c r="E776" s="564">
        <v>1376156</v>
      </c>
      <c r="F776" s="564">
        <v>1403679</v>
      </c>
      <c r="G776" s="1497">
        <f t="shared" si="135"/>
        <v>1.0199999128005837</v>
      </c>
    </row>
    <row r="777" spans="1:7" ht="17.100000000000001" customHeight="1">
      <c r="A777" s="548"/>
      <c r="B777" s="746"/>
      <c r="C777" s="1662" t="s">
        <v>512</v>
      </c>
      <c r="D777" s="1663" t="s">
        <v>513</v>
      </c>
      <c r="E777" s="564">
        <v>10000</v>
      </c>
      <c r="F777" s="564">
        <v>10200</v>
      </c>
      <c r="G777" s="1497">
        <f t="shared" si="135"/>
        <v>1.02</v>
      </c>
    </row>
    <row r="778" spans="1:7" ht="17.100000000000001" customHeight="1">
      <c r="A778" s="548"/>
      <c r="B778" s="746"/>
      <c r="C778" s="1662" t="s">
        <v>514</v>
      </c>
      <c r="D778" s="1663" t="s">
        <v>515</v>
      </c>
      <c r="E778" s="564">
        <v>170000</v>
      </c>
      <c r="F778" s="564">
        <v>173400</v>
      </c>
      <c r="G778" s="1497">
        <f t="shared" si="135"/>
        <v>1.02</v>
      </c>
    </row>
    <row r="779" spans="1:7" ht="17.100000000000001" customHeight="1">
      <c r="A779" s="548"/>
      <c r="B779" s="746"/>
      <c r="C779" s="1665" t="s">
        <v>516</v>
      </c>
      <c r="D779" s="1666" t="s">
        <v>517</v>
      </c>
      <c r="E779" s="564">
        <v>100000</v>
      </c>
      <c r="F779" s="564">
        <v>102000</v>
      </c>
      <c r="G779" s="1497">
        <f t="shared" si="135"/>
        <v>1.02</v>
      </c>
    </row>
    <row r="780" spans="1:7" ht="17.100000000000001" hidden="1" customHeight="1">
      <c r="A780" s="548"/>
      <c r="B780" s="746"/>
      <c r="C780" s="1665" t="s">
        <v>618</v>
      </c>
      <c r="D780" s="1666" t="s">
        <v>619</v>
      </c>
      <c r="E780" s="564"/>
      <c r="F780" s="564"/>
      <c r="G780" s="1497" t="e">
        <f t="shared" si="135"/>
        <v>#DIV/0!</v>
      </c>
    </row>
    <row r="781" spans="1:7" ht="17.100000000000001" customHeight="1">
      <c r="A781" s="548"/>
      <c r="B781" s="746"/>
      <c r="C781" s="1665" t="s">
        <v>580</v>
      </c>
      <c r="D781" s="1666" t="s">
        <v>581</v>
      </c>
      <c r="E781" s="564">
        <v>135000</v>
      </c>
      <c r="F781" s="564">
        <v>102000</v>
      </c>
      <c r="G781" s="1497">
        <f t="shared" si="135"/>
        <v>0.75555555555555554</v>
      </c>
    </row>
    <row r="782" spans="1:7" ht="17.100000000000001" customHeight="1">
      <c r="A782" s="548"/>
      <c r="B782" s="746"/>
      <c r="C782" s="1664" t="s">
        <v>518</v>
      </c>
      <c r="D782" s="1667" t="s">
        <v>519</v>
      </c>
      <c r="E782" s="564">
        <v>200000</v>
      </c>
      <c r="F782" s="564">
        <v>204000</v>
      </c>
      <c r="G782" s="1497">
        <f t="shared" si="135"/>
        <v>1.02</v>
      </c>
    </row>
    <row r="783" spans="1:7" ht="17.100000000000001" customHeight="1">
      <c r="A783" s="548"/>
      <c r="B783" s="746"/>
      <c r="C783" s="553"/>
      <c r="D783" s="553"/>
      <c r="E783" s="550"/>
      <c r="F783" s="550"/>
      <c r="G783" s="1433"/>
    </row>
    <row r="784" spans="1:7" ht="17.100000000000001" customHeight="1">
      <c r="A784" s="548"/>
      <c r="B784" s="746"/>
      <c r="C784" s="2884" t="s">
        <v>520</v>
      </c>
      <c r="D784" s="2884"/>
      <c r="E784" s="1436">
        <f t="shared" ref="E784:F784" si="136">E785</f>
        <v>100000</v>
      </c>
      <c r="F784" s="1436">
        <f t="shared" si="136"/>
        <v>71400</v>
      </c>
      <c r="G784" s="1437">
        <f t="shared" si="135"/>
        <v>0.71399999999999997</v>
      </c>
    </row>
    <row r="785" spans="1:7" ht="17.100000000000001" customHeight="1">
      <c r="A785" s="548"/>
      <c r="B785" s="746"/>
      <c r="C785" s="1668" t="s">
        <v>521</v>
      </c>
      <c r="D785" s="1669" t="s">
        <v>522</v>
      </c>
      <c r="E785" s="564">
        <v>100000</v>
      </c>
      <c r="F785" s="564">
        <v>71400</v>
      </c>
      <c r="G785" s="1497">
        <f t="shared" si="135"/>
        <v>0.71399999999999997</v>
      </c>
    </row>
    <row r="786" spans="1:7" ht="17.100000000000001" customHeight="1">
      <c r="A786" s="548"/>
      <c r="B786" s="746"/>
      <c r="C786" s="595"/>
      <c r="D786" s="1658"/>
      <c r="E786" s="574"/>
      <c r="F786" s="574"/>
      <c r="G786" s="1510"/>
    </row>
    <row r="787" spans="1:7" ht="17.100000000000001" customHeight="1">
      <c r="A787" s="548"/>
      <c r="B787" s="746"/>
      <c r="C787" s="2885" t="s">
        <v>536</v>
      </c>
      <c r="D787" s="2886"/>
      <c r="E787" s="564">
        <f>SUM(E788:E826)</f>
        <v>36970959</v>
      </c>
      <c r="F787" s="564">
        <f>SUM(F788:F826)</f>
        <v>37726922</v>
      </c>
      <c r="G787" s="1497">
        <f t="shared" si="135"/>
        <v>1.0204474814948674</v>
      </c>
    </row>
    <row r="788" spans="1:7" ht="17.100000000000001" customHeight="1">
      <c r="A788" s="548"/>
      <c r="B788" s="746"/>
      <c r="C788" s="1670" t="s">
        <v>687</v>
      </c>
      <c r="D788" s="1669" t="s">
        <v>522</v>
      </c>
      <c r="E788" s="1436">
        <v>21250</v>
      </c>
      <c r="F788" s="1436">
        <v>21250</v>
      </c>
      <c r="G788" s="1437">
        <f t="shared" si="135"/>
        <v>1</v>
      </c>
    </row>
    <row r="789" spans="1:7" ht="17.100000000000001" customHeight="1">
      <c r="A789" s="548"/>
      <c r="B789" s="746"/>
      <c r="C789" s="1671" t="s">
        <v>688</v>
      </c>
      <c r="D789" s="1456" t="s">
        <v>522</v>
      </c>
      <c r="E789" s="1436">
        <v>3750</v>
      </c>
      <c r="F789" s="1436">
        <v>3750</v>
      </c>
      <c r="G789" s="1437">
        <f t="shared" si="135"/>
        <v>1</v>
      </c>
    </row>
    <row r="790" spans="1:7" ht="17.100000000000001" customHeight="1">
      <c r="A790" s="548"/>
      <c r="B790" s="746"/>
      <c r="C790" s="1672" t="s">
        <v>689</v>
      </c>
      <c r="D790" s="1667" t="s">
        <v>690</v>
      </c>
      <c r="E790" s="1436">
        <v>10200</v>
      </c>
      <c r="F790" s="1436">
        <v>10200</v>
      </c>
      <c r="G790" s="1437">
        <f t="shared" si="135"/>
        <v>1</v>
      </c>
    </row>
    <row r="791" spans="1:7" ht="17.100000000000001" customHeight="1">
      <c r="A791" s="548"/>
      <c r="B791" s="746"/>
      <c r="C791" s="1672" t="s">
        <v>691</v>
      </c>
      <c r="D791" s="1667" t="s">
        <v>690</v>
      </c>
      <c r="E791" s="1436">
        <v>1800</v>
      </c>
      <c r="F791" s="1436">
        <v>1800</v>
      </c>
      <c r="G791" s="1437">
        <f t="shared" si="135"/>
        <v>1</v>
      </c>
    </row>
    <row r="792" spans="1:7" ht="17.100000000000001" customHeight="1">
      <c r="A792" s="548"/>
      <c r="B792" s="746"/>
      <c r="C792" s="1668" t="s">
        <v>540</v>
      </c>
      <c r="D792" s="1669" t="s">
        <v>474</v>
      </c>
      <c r="E792" s="1436">
        <v>18688873</v>
      </c>
      <c r="F792" s="1436">
        <v>19797058</v>
      </c>
      <c r="G792" s="1437">
        <f t="shared" si="135"/>
        <v>1.0592965129572018</v>
      </c>
    </row>
    <row r="793" spans="1:7" ht="17.100000000000001" customHeight="1">
      <c r="A793" s="548"/>
      <c r="B793" s="746"/>
      <c r="C793" s="1662" t="s">
        <v>541</v>
      </c>
      <c r="D793" s="1663" t="s">
        <v>474</v>
      </c>
      <c r="E793" s="1436">
        <v>3298037</v>
      </c>
      <c r="F793" s="1436">
        <v>3493598</v>
      </c>
      <c r="G793" s="1437">
        <f t="shared" si="135"/>
        <v>1.0592961813345332</v>
      </c>
    </row>
    <row r="794" spans="1:7" ht="17.100000000000001" customHeight="1">
      <c r="A794" s="548"/>
      <c r="B794" s="746"/>
      <c r="C794" s="1662" t="s">
        <v>542</v>
      </c>
      <c r="D794" s="1663" t="s">
        <v>476</v>
      </c>
      <c r="E794" s="1436">
        <v>1276809</v>
      </c>
      <c r="F794" s="1436">
        <v>1420929</v>
      </c>
      <c r="G794" s="1437">
        <f t="shared" si="135"/>
        <v>1.1128751442071603</v>
      </c>
    </row>
    <row r="795" spans="1:7" ht="17.100000000000001" customHeight="1">
      <c r="A795" s="548"/>
      <c r="B795" s="746"/>
      <c r="C795" s="1662" t="s">
        <v>543</v>
      </c>
      <c r="D795" s="1663" t="s">
        <v>476</v>
      </c>
      <c r="E795" s="1436">
        <v>225319</v>
      </c>
      <c r="F795" s="1436">
        <v>250753</v>
      </c>
      <c r="G795" s="1437">
        <f t="shared" si="135"/>
        <v>1.1128799612993134</v>
      </c>
    </row>
    <row r="796" spans="1:7" ht="17.100000000000001" customHeight="1">
      <c r="A796" s="548"/>
      <c r="B796" s="746"/>
      <c r="C796" s="1662" t="s">
        <v>544</v>
      </c>
      <c r="D796" s="1663" t="s">
        <v>478</v>
      </c>
      <c r="E796" s="1436">
        <v>3488277</v>
      </c>
      <c r="F796" s="1436">
        <v>3656620</v>
      </c>
      <c r="G796" s="1437">
        <f t="shared" si="135"/>
        <v>1.0482596422245136</v>
      </c>
    </row>
    <row r="797" spans="1:7" ht="17.100000000000001" customHeight="1">
      <c r="A797" s="548"/>
      <c r="B797" s="746"/>
      <c r="C797" s="1662" t="s">
        <v>545</v>
      </c>
      <c r="D797" s="1663" t="s">
        <v>478</v>
      </c>
      <c r="E797" s="1436">
        <v>615578</v>
      </c>
      <c r="F797" s="1436">
        <v>645286</v>
      </c>
      <c r="G797" s="1437">
        <f t="shared" si="135"/>
        <v>1.0482603341899808</v>
      </c>
    </row>
    <row r="798" spans="1:7" ht="28.5" customHeight="1">
      <c r="A798" s="548"/>
      <c r="B798" s="746"/>
      <c r="C798" s="1662" t="s">
        <v>546</v>
      </c>
      <c r="D798" s="1663" t="s">
        <v>1028</v>
      </c>
      <c r="E798" s="1436">
        <v>491268</v>
      </c>
      <c r="F798" s="1436">
        <v>521013</v>
      </c>
      <c r="G798" s="1437">
        <f t="shared" si="135"/>
        <v>1.0605473997899313</v>
      </c>
    </row>
    <row r="799" spans="1:7" ht="28.5" customHeight="1">
      <c r="A799" s="548"/>
      <c r="B799" s="746"/>
      <c r="C799" s="1662" t="s">
        <v>547</v>
      </c>
      <c r="D799" s="1663" t="s">
        <v>1028</v>
      </c>
      <c r="E799" s="1436">
        <v>86694</v>
      </c>
      <c r="F799" s="1436">
        <v>91943</v>
      </c>
      <c r="G799" s="1437">
        <f t="shared" si="135"/>
        <v>1.0605462892472375</v>
      </c>
    </row>
    <row r="800" spans="1:7" ht="17.100000000000001" customHeight="1">
      <c r="A800" s="548"/>
      <c r="B800" s="746"/>
      <c r="C800" s="1662" t="s">
        <v>548</v>
      </c>
      <c r="D800" s="1663" t="s">
        <v>482</v>
      </c>
      <c r="E800" s="1436">
        <f>906950+127500</f>
        <v>1034450</v>
      </c>
      <c r="F800" s="1436">
        <f>1156510+81000+63750</f>
        <v>1301260</v>
      </c>
      <c r="G800" s="1437">
        <f t="shared" si="135"/>
        <v>1.2579245009425299</v>
      </c>
    </row>
    <row r="801" spans="1:7" ht="17.100000000000001" customHeight="1">
      <c r="A801" s="548"/>
      <c r="B801" s="746"/>
      <c r="C801" s="1662" t="s">
        <v>549</v>
      </c>
      <c r="D801" s="1663" t="s">
        <v>482</v>
      </c>
      <c r="E801" s="1436">
        <f>160050+22500</f>
        <v>182550</v>
      </c>
      <c r="F801" s="1436">
        <f>204090+14294+11250</f>
        <v>229634</v>
      </c>
      <c r="G801" s="1437">
        <f t="shared" si="135"/>
        <v>1.2579238564776773</v>
      </c>
    </row>
    <row r="802" spans="1:7" ht="17.100000000000001" customHeight="1">
      <c r="A802" s="548"/>
      <c r="B802" s="746"/>
      <c r="C802" s="1662" t="s">
        <v>553</v>
      </c>
      <c r="D802" s="1663" t="s">
        <v>487</v>
      </c>
      <c r="E802" s="1436">
        <f>969000+102000</f>
        <v>1071000</v>
      </c>
      <c r="F802" s="1436">
        <f>918000+110000</f>
        <v>1028000</v>
      </c>
      <c r="G802" s="1437">
        <f t="shared" si="135"/>
        <v>0.95985060690943047</v>
      </c>
    </row>
    <row r="803" spans="1:7" ht="17.100000000000001" customHeight="1">
      <c r="A803" s="548"/>
      <c r="B803" s="746"/>
      <c r="C803" s="1662" t="s">
        <v>554</v>
      </c>
      <c r="D803" s="1663" t="s">
        <v>487</v>
      </c>
      <c r="E803" s="1436">
        <f>171000+18000</f>
        <v>189000</v>
      </c>
      <c r="F803" s="1436">
        <f>162000+19412</f>
        <v>181412</v>
      </c>
      <c r="G803" s="1437">
        <f t="shared" si="135"/>
        <v>0.95985185185185184</v>
      </c>
    </row>
    <row r="804" spans="1:7" ht="17.100000000000001" customHeight="1">
      <c r="A804" s="548"/>
      <c r="B804" s="746"/>
      <c r="C804" s="1662" t="s">
        <v>692</v>
      </c>
      <c r="D804" s="1663" t="s">
        <v>491</v>
      </c>
      <c r="E804" s="1436">
        <v>318750</v>
      </c>
      <c r="F804" s="1436">
        <v>394400</v>
      </c>
      <c r="G804" s="1437">
        <f t="shared" si="135"/>
        <v>1.2373333333333334</v>
      </c>
    </row>
    <row r="805" spans="1:7" ht="17.100000000000001" customHeight="1">
      <c r="A805" s="548"/>
      <c r="B805" s="746"/>
      <c r="C805" s="1662" t="s">
        <v>693</v>
      </c>
      <c r="D805" s="1663" t="s">
        <v>491</v>
      </c>
      <c r="E805" s="1436">
        <v>56250</v>
      </c>
      <c r="F805" s="1436">
        <v>69600</v>
      </c>
      <c r="G805" s="1437">
        <f t="shared" si="135"/>
        <v>1.2373333333333334</v>
      </c>
    </row>
    <row r="806" spans="1:7" ht="17.100000000000001" customHeight="1">
      <c r="A806" s="548"/>
      <c r="B806" s="746"/>
      <c r="C806" s="1662" t="s">
        <v>694</v>
      </c>
      <c r="D806" s="1663" t="s">
        <v>495</v>
      </c>
      <c r="E806" s="1436">
        <v>21250</v>
      </c>
      <c r="F806" s="1436">
        <v>22950</v>
      </c>
      <c r="G806" s="1437">
        <f t="shared" si="135"/>
        <v>1.08</v>
      </c>
    </row>
    <row r="807" spans="1:7" ht="17.100000000000001" customHeight="1">
      <c r="A807" s="548"/>
      <c r="B807" s="746"/>
      <c r="C807" s="1662" t="s">
        <v>695</v>
      </c>
      <c r="D807" s="1663" t="s">
        <v>495</v>
      </c>
      <c r="E807" s="1436">
        <v>3750</v>
      </c>
      <c r="F807" s="1436">
        <v>4050</v>
      </c>
      <c r="G807" s="1437">
        <f t="shared" si="135"/>
        <v>1.08</v>
      </c>
    </row>
    <row r="808" spans="1:7" ht="17.100000000000001" customHeight="1">
      <c r="A808" s="548"/>
      <c r="B808" s="746"/>
      <c r="C808" s="1662" t="s">
        <v>557</v>
      </c>
      <c r="D808" s="1663" t="s">
        <v>497</v>
      </c>
      <c r="E808" s="1436">
        <f>414803+2482000+17000+69700</f>
        <v>2983503</v>
      </c>
      <c r="F808" s="1436">
        <f>351153+1900000+17000+34000</f>
        <v>2302153</v>
      </c>
      <c r="G808" s="1437">
        <f t="shared" si="135"/>
        <v>0.77162751302747135</v>
      </c>
    </row>
    <row r="809" spans="1:7" ht="17.100000000000001" customHeight="1">
      <c r="A809" s="548"/>
      <c r="B809" s="746"/>
      <c r="C809" s="1662" t="s">
        <v>558</v>
      </c>
      <c r="D809" s="1663" t="s">
        <v>497</v>
      </c>
      <c r="E809" s="1436">
        <f>73201+438000+3000+12300</f>
        <v>526501</v>
      </c>
      <c r="F809" s="1436">
        <f>61969+335294+3000+6000</f>
        <v>406263</v>
      </c>
      <c r="G809" s="1437">
        <f t="shared" si="135"/>
        <v>0.77162816404907109</v>
      </c>
    </row>
    <row r="810" spans="1:7" ht="26.25" hidden="1" customHeight="1">
      <c r="A810" s="548"/>
      <c r="B810" s="746"/>
      <c r="C810" s="1662" t="s">
        <v>696</v>
      </c>
      <c r="D810" s="1663" t="s">
        <v>697</v>
      </c>
      <c r="E810" s="1436"/>
      <c r="F810" s="1436"/>
      <c r="G810" s="1437" t="e">
        <f t="shared" si="135"/>
        <v>#DIV/0!</v>
      </c>
    </row>
    <row r="811" spans="1:7" ht="16.5" customHeight="1">
      <c r="A811" s="548"/>
      <c r="B811" s="746"/>
      <c r="C811" s="1662" t="s">
        <v>675</v>
      </c>
      <c r="D811" s="1663" t="s">
        <v>649</v>
      </c>
      <c r="E811" s="1436">
        <f>4250+3060</f>
        <v>7310</v>
      </c>
      <c r="F811" s="1436">
        <v>7650</v>
      </c>
      <c r="G811" s="1437">
        <f t="shared" si="135"/>
        <v>1.0465116279069768</v>
      </c>
    </row>
    <row r="812" spans="1:7" ht="16.5" customHeight="1">
      <c r="A812" s="548"/>
      <c r="B812" s="746"/>
      <c r="C812" s="1662" t="s">
        <v>648</v>
      </c>
      <c r="D812" s="1663" t="s">
        <v>649</v>
      </c>
      <c r="E812" s="1436">
        <f>750+540</f>
        <v>1290</v>
      </c>
      <c r="F812" s="1436">
        <v>1350</v>
      </c>
      <c r="G812" s="1437">
        <f t="shared" si="135"/>
        <v>1.0465116279069768</v>
      </c>
    </row>
    <row r="813" spans="1:7" ht="17.100000000000001" customHeight="1">
      <c r="A813" s="548"/>
      <c r="B813" s="746"/>
      <c r="C813" s="1662" t="s">
        <v>559</v>
      </c>
      <c r="D813" s="1663" t="s">
        <v>501</v>
      </c>
      <c r="E813" s="1436">
        <f>8500+238000+1220600</f>
        <v>1467100</v>
      </c>
      <c r="F813" s="1436">
        <f>8500+259250+816000</f>
        <v>1083750</v>
      </c>
      <c r="G813" s="1437">
        <f t="shared" si="135"/>
        <v>0.73870220162224798</v>
      </c>
    </row>
    <row r="814" spans="1:7" ht="16.5" customHeight="1">
      <c r="A814" s="548"/>
      <c r="B814" s="746"/>
      <c r="C814" s="1662" t="s">
        <v>560</v>
      </c>
      <c r="D814" s="1663" t="s">
        <v>501</v>
      </c>
      <c r="E814" s="1436">
        <f>1500+42000+215400</f>
        <v>258900</v>
      </c>
      <c r="F814" s="1436">
        <f>1500+45750+144000</f>
        <v>191250</v>
      </c>
      <c r="G814" s="1437">
        <f t="shared" si="135"/>
        <v>0.73870220162224798</v>
      </c>
    </row>
    <row r="815" spans="1:7" ht="16.5" hidden="1" customHeight="1">
      <c r="A815" s="548"/>
      <c r="B815" s="746"/>
      <c r="C815" s="1662" t="s">
        <v>698</v>
      </c>
      <c r="D815" s="1663" t="s">
        <v>503</v>
      </c>
      <c r="E815" s="1436"/>
      <c r="F815" s="1436"/>
      <c r="G815" s="1437" t="e">
        <f t="shared" si="135"/>
        <v>#DIV/0!</v>
      </c>
    </row>
    <row r="816" spans="1:7" ht="20.100000000000001" hidden="1" customHeight="1">
      <c r="A816" s="548"/>
      <c r="B816" s="746"/>
      <c r="C816" s="1662" t="s">
        <v>699</v>
      </c>
      <c r="D816" s="1663" t="s">
        <v>503</v>
      </c>
      <c r="E816" s="1436"/>
      <c r="F816" s="1436"/>
      <c r="G816" s="1437" t="e">
        <f t="shared" si="135"/>
        <v>#DIV/0!</v>
      </c>
    </row>
    <row r="817" spans="1:7" ht="17.100000000000001" customHeight="1">
      <c r="A817" s="548"/>
      <c r="B817" s="746"/>
      <c r="C817" s="1662" t="s">
        <v>561</v>
      </c>
      <c r="D817" s="1663" t="s">
        <v>505</v>
      </c>
      <c r="E817" s="1436">
        <f>68000+8500</f>
        <v>76500</v>
      </c>
      <c r="F817" s="1436">
        <f>68000+8000</f>
        <v>76000</v>
      </c>
      <c r="G817" s="1437">
        <f t="shared" si="135"/>
        <v>0.99346405228758172</v>
      </c>
    </row>
    <row r="818" spans="1:7" ht="17.100000000000001" customHeight="1">
      <c r="A818" s="548"/>
      <c r="B818" s="746"/>
      <c r="C818" s="1662" t="s">
        <v>562</v>
      </c>
      <c r="D818" s="1663" t="s">
        <v>505</v>
      </c>
      <c r="E818" s="1436">
        <f>12000+1500</f>
        <v>13500</v>
      </c>
      <c r="F818" s="1436">
        <f>12000+1412</f>
        <v>13412</v>
      </c>
      <c r="G818" s="1437">
        <f t="shared" si="135"/>
        <v>0.99348148148148152</v>
      </c>
    </row>
    <row r="819" spans="1:7" ht="17.100000000000001" customHeight="1">
      <c r="A819" s="548"/>
      <c r="B819" s="746"/>
      <c r="C819" s="1662" t="s">
        <v>650</v>
      </c>
      <c r="D819" s="1663" t="s">
        <v>631</v>
      </c>
      <c r="E819" s="1436">
        <v>39525</v>
      </c>
      <c r="F819" s="1436">
        <f>42500+9000</f>
        <v>51500</v>
      </c>
      <c r="G819" s="1437">
        <f t="shared" si="135"/>
        <v>1.3029728020240354</v>
      </c>
    </row>
    <row r="820" spans="1:7" ht="17.100000000000001" customHeight="1">
      <c r="A820" s="548"/>
      <c r="B820" s="746"/>
      <c r="C820" s="1662" t="s">
        <v>651</v>
      </c>
      <c r="D820" s="1663" t="s">
        <v>631</v>
      </c>
      <c r="E820" s="1436">
        <v>6975</v>
      </c>
      <c r="F820" s="1436">
        <f>7500+1588</f>
        <v>9088</v>
      </c>
      <c r="G820" s="1437">
        <f t="shared" si="135"/>
        <v>1.3029390681003585</v>
      </c>
    </row>
    <row r="821" spans="1:7" ht="17.100000000000001" customHeight="1">
      <c r="A821" s="548"/>
      <c r="B821" s="746"/>
      <c r="C821" s="1662" t="s">
        <v>700</v>
      </c>
      <c r="D821" s="1663" t="s">
        <v>515</v>
      </c>
      <c r="E821" s="1436">
        <v>25500</v>
      </c>
      <c r="F821" s="1436">
        <v>28900</v>
      </c>
      <c r="G821" s="1437">
        <f t="shared" si="135"/>
        <v>1.1333333333333333</v>
      </c>
    </row>
    <row r="822" spans="1:7" ht="17.100000000000001" customHeight="1">
      <c r="A822" s="548"/>
      <c r="B822" s="746"/>
      <c r="C822" s="1662" t="s">
        <v>701</v>
      </c>
      <c r="D822" s="1663" t="s">
        <v>515</v>
      </c>
      <c r="E822" s="1436">
        <v>4500</v>
      </c>
      <c r="F822" s="1436">
        <v>5100</v>
      </c>
      <c r="G822" s="1437">
        <f t="shared" si="135"/>
        <v>1.1333333333333333</v>
      </c>
    </row>
    <row r="823" spans="1:7" ht="17.100000000000001" customHeight="1">
      <c r="A823" s="548"/>
      <c r="B823" s="746"/>
      <c r="C823" s="1665" t="s">
        <v>702</v>
      </c>
      <c r="D823" s="1666" t="s">
        <v>581</v>
      </c>
      <c r="E823" s="1436">
        <f>89250+42500</f>
        <v>131750</v>
      </c>
      <c r="F823" s="1436">
        <v>131750</v>
      </c>
      <c r="G823" s="1437">
        <f t="shared" si="135"/>
        <v>1</v>
      </c>
    </row>
    <row r="824" spans="1:7" ht="17.100000000000001" customHeight="1">
      <c r="A824" s="548"/>
      <c r="B824" s="746"/>
      <c r="C824" s="1621" t="s">
        <v>703</v>
      </c>
      <c r="D824" s="1673" t="s">
        <v>581</v>
      </c>
      <c r="E824" s="1436">
        <f>15750+7500</f>
        <v>23250</v>
      </c>
      <c r="F824" s="1436">
        <v>23250</v>
      </c>
      <c r="G824" s="1437">
        <f t="shared" si="135"/>
        <v>1</v>
      </c>
    </row>
    <row r="825" spans="1:7" ht="17.100000000000001" customHeight="1">
      <c r="A825" s="548"/>
      <c r="B825" s="746"/>
      <c r="C825" s="1668" t="s">
        <v>565</v>
      </c>
      <c r="D825" s="1669" t="s">
        <v>519</v>
      </c>
      <c r="E825" s="1436">
        <v>272000</v>
      </c>
      <c r="F825" s="1436">
        <v>212500</v>
      </c>
      <c r="G825" s="1437">
        <f t="shared" si="135"/>
        <v>0.78125</v>
      </c>
    </row>
    <row r="826" spans="1:7" ht="17.100000000000001" customHeight="1">
      <c r="A826" s="548"/>
      <c r="B826" s="746"/>
      <c r="C826" s="1662" t="s">
        <v>566</v>
      </c>
      <c r="D826" s="1663" t="s">
        <v>519</v>
      </c>
      <c r="E826" s="1436">
        <v>48000</v>
      </c>
      <c r="F826" s="1436">
        <v>37500</v>
      </c>
      <c r="G826" s="1437">
        <f t="shared" si="135"/>
        <v>0.78125</v>
      </c>
    </row>
    <row r="827" spans="1:7" ht="17.100000000000001" customHeight="1">
      <c r="A827" s="548"/>
      <c r="B827" s="746"/>
      <c r="C827" s="553"/>
      <c r="D827" s="553"/>
      <c r="E827" s="550"/>
      <c r="F827" s="550"/>
      <c r="G827" s="1433"/>
    </row>
    <row r="828" spans="1:7" ht="17.100000000000001" customHeight="1">
      <c r="A828" s="548"/>
      <c r="B828" s="746"/>
      <c r="C828" s="2887" t="s">
        <v>523</v>
      </c>
      <c r="D828" s="2887"/>
      <c r="E828" s="1484">
        <f>E829</f>
        <v>19101409</v>
      </c>
      <c r="F828" s="1484">
        <f>F829</f>
        <v>7337499</v>
      </c>
      <c r="G828" s="1485">
        <f t="shared" si="135"/>
        <v>0.38413391389085488</v>
      </c>
    </row>
    <row r="829" spans="1:7" ht="17.100000000000001" customHeight="1">
      <c r="A829" s="548"/>
      <c r="B829" s="746"/>
      <c r="C829" s="2884" t="s">
        <v>636</v>
      </c>
      <c r="D829" s="2884"/>
      <c r="E829" s="1436">
        <f>SUM(E830:E835)</f>
        <v>19101409</v>
      </c>
      <c r="F829" s="1436">
        <f>SUM(F830:F835)</f>
        <v>7337499</v>
      </c>
      <c r="G829" s="1437">
        <f t="shared" ref="G829:G892" si="137">F829/E829</f>
        <v>0.38413391389085488</v>
      </c>
    </row>
    <row r="830" spans="1:7" ht="17.25" customHeight="1">
      <c r="A830" s="548"/>
      <c r="B830" s="746"/>
      <c r="C830" s="1662" t="s">
        <v>531</v>
      </c>
      <c r="D830" s="1663" t="s">
        <v>526</v>
      </c>
      <c r="E830" s="1436">
        <f>12260034+110000</f>
        <v>12370034</v>
      </c>
      <c r="F830" s="1436">
        <f>2100000+93607</f>
        <v>2193607</v>
      </c>
      <c r="G830" s="1437">
        <f t="shared" si="137"/>
        <v>0.1773323339289124</v>
      </c>
    </row>
    <row r="831" spans="1:7" ht="17.100000000000001" customHeight="1">
      <c r="A831" s="548"/>
      <c r="B831" s="746"/>
      <c r="C831" s="1662" t="s">
        <v>625</v>
      </c>
      <c r="D831" s="1663" t="s">
        <v>526</v>
      </c>
      <c r="E831" s="1436">
        <v>2897119</v>
      </c>
      <c r="F831" s="1436">
        <v>2535651</v>
      </c>
      <c r="G831" s="1437">
        <f t="shared" si="137"/>
        <v>0.87523191142648959</v>
      </c>
    </row>
    <row r="832" spans="1:7" ht="17.100000000000001" customHeight="1">
      <c r="A832" s="548"/>
      <c r="B832" s="746"/>
      <c r="C832" s="1662" t="s">
        <v>626</v>
      </c>
      <c r="D832" s="1663" t="s">
        <v>526</v>
      </c>
      <c r="E832" s="1436">
        <v>514256</v>
      </c>
      <c r="F832" s="1436">
        <v>518241</v>
      </c>
      <c r="G832" s="1437">
        <f t="shared" si="137"/>
        <v>1.0077490588345104</v>
      </c>
    </row>
    <row r="833" spans="1:7" ht="17.100000000000001" customHeight="1">
      <c r="A833" s="548"/>
      <c r="B833" s="2888"/>
      <c r="C833" s="1662" t="s">
        <v>525</v>
      </c>
      <c r="D833" s="1663" t="s">
        <v>571</v>
      </c>
      <c r="E833" s="1436">
        <v>3000000</v>
      </c>
      <c r="F833" s="1436">
        <v>1950000</v>
      </c>
      <c r="G833" s="1437">
        <f t="shared" si="137"/>
        <v>0.65</v>
      </c>
    </row>
    <row r="834" spans="1:7" ht="17.100000000000001" customHeight="1">
      <c r="A834" s="548"/>
      <c r="B834" s="2888"/>
      <c r="C834" s="1662" t="s">
        <v>638</v>
      </c>
      <c r="D834" s="1663" t="s">
        <v>571</v>
      </c>
      <c r="E834" s="1436">
        <v>272000</v>
      </c>
      <c r="F834" s="1436">
        <f>102000+17000</f>
        <v>119000</v>
      </c>
      <c r="G834" s="1437">
        <f t="shared" si="137"/>
        <v>0.4375</v>
      </c>
    </row>
    <row r="835" spans="1:7" ht="17.100000000000001" customHeight="1">
      <c r="A835" s="548"/>
      <c r="B835" s="2888"/>
      <c r="C835" s="1662" t="s">
        <v>623</v>
      </c>
      <c r="D835" s="1663" t="s">
        <v>571</v>
      </c>
      <c r="E835" s="1436">
        <v>48000</v>
      </c>
      <c r="F835" s="1436">
        <f>18000+3000</f>
        <v>21000</v>
      </c>
      <c r="G835" s="1437">
        <f t="shared" si="137"/>
        <v>0.4375</v>
      </c>
    </row>
    <row r="836" spans="1:7" ht="17.100000000000001" customHeight="1">
      <c r="A836" s="548"/>
      <c r="B836" s="2788"/>
      <c r="C836" s="595"/>
      <c r="D836" s="1674"/>
      <c r="E836" s="597"/>
      <c r="F836" s="597"/>
      <c r="G836" s="1675"/>
    </row>
    <row r="837" spans="1:7" ht="17.100000000000001" customHeight="1">
      <c r="A837" s="548"/>
      <c r="B837" s="2788"/>
      <c r="C837" s="2889" t="s">
        <v>534</v>
      </c>
      <c r="D837" s="2890"/>
      <c r="E837" s="577">
        <f>SUM(E838:E842)</f>
        <v>3841375</v>
      </c>
      <c r="F837" s="577">
        <f>SUM(F838:F842)</f>
        <v>3287499</v>
      </c>
      <c r="G837" s="1543">
        <f t="shared" si="137"/>
        <v>0.85581308776154374</v>
      </c>
    </row>
    <row r="838" spans="1:7" ht="17.100000000000001" customHeight="1">
      <c r="A838" s="548"/>
      <c r="B838" s="2788"/>
      <c r="C838" s="1662" t="s">
        <v>531</v>
      </c>
      <c r="D838" s="1663" t="s">
        <v>526</v>
      </c>
      <c r="E838" s="564">
        <v>110000</v>
      </c>
      <c r="F838" s="564">
        <v>93607</v>
      </c>
      <c r="G838" s="1543">
        <f t="shared" si="137"/>
        <v>0.85097272727272733</v>
      </c>
    </row>
    <row r="839" spans="1:7" ht="17.100000000000001" customHeight="1">
      <c r="A839" s="548"/>
      <c r="B839" s="2788"/>
      <c r="C839" s="1662" t="s">
        <v>625</v>
      </c>
      <c r="D839" s="1663" t="s">
        <v>526</v>
      </c>
      <c r="E839" s="1436">
        <v>2897119</v>
      </c>
      <c r="F839" s="1436">
        <v>2535651</v>
      </c>
      <c r="G839" s="1437">
        <f t="shared" si="137"/>
        <v>0.87523191142648959</v>
      </c>
    </row>
    <row r="840" spans="1:7" ht="17.100000000000001" customHeight="1">
      <c r="A840" s="548"/>
      <c r="B840" s="2788"/>
      <c r="C840" s="1662" t="s">
        <v>626</v>
      </c>
      <c r="D840" s="1663" t="s">
        <v>526</v>
      </c>
      <c r="E840" s="1436">
        <v>514256</v>
      </c>
      <c r="F840" s="1436">
        <v>518241</v>
      </c>
      <c r="G840" s="1437">
        <f t="shared" si="137"/>
        <v>1.0077490588345104</v>
      </c>
    </row>
    <row r="841" spans="1:7" ht="17.100000000000001" customHeight="1">
      <c r="A841" s="548"/>
      <c r="B841" s="2788"/>
      <c r="C841" s="1676" t="s">
        <v>638</v>
      </c>
      <c r="D841" s="1677" t="s">
        <v>571</v>
      </c>
      <c r="E841" s="1436">
        <v>272000</v>
      </c>
      <c r="F841" s="1436">
        <f>102000+17000</f>
        <v>119000</v>
      </c>
      <c r="G841" s="1437">
        <f t="shared" si="137"/>
        <v>0.4375</v>
      </c>
    </row>
    <row r="842" spans="1:7" ht="17.100000000000001" customHeight="1" thickBot="1">
      <c r="A842" s="548"/>
      <c r="B842" s="2788"/>
      <c r="C842" s="1665" t="s">
        <v>623</v>
      </c>
      <c r="D842" s="1666" t="s">
        <v>571</v>
      </c>
      <c r="E842" s="1436">
        <v>48000</v>
      </c>
      <c r="F842" s="1436">
        <f>18000+3000</f>
        <v>21000</v>
      </c>
      <c r="G842" s="1437">
        <f t="shared" si="137"/>
        <v>0.4375</v>
      </c>
    </row>
    <row r="843" spans="1:7" ht="17.100000000000001" hidden="1" customHeight="1" thickBot="1">
      <c r="A843" s="548"/>
      <c r="B843" s="559" t="s">
        <v>1059</v>
      </c>
      <c r="C843" s="560"/>
      <c r="D843" s="561" t="s">
        <v>1060</v>
      </c>
      <c r="E843" s="562">
        <f t="shared" ref="E843:F845" si="138">E844</f>
        <v>30000</v>
      </c>
      <c r="F843" s="562">
        <f t="shared" si="138"/>
        <v>0</v>
      </c>
      <c r="G843" s="1478">
        <f t="shared" si="137"/>
        <v>0</v>
      </c>
    </row>
    <row r="844" spans="1:7" ht="17.100000000000001" hidden="1" customHeight="1">
      <c r="A844" s="548"/>
      <c r="B844" s="743"/>
      <c r="C844" s="2853" t="s">
        <v>685</v>
      </c>
      <c r="D844" s="2853"/>
      <c r="E844" s="549">
        <f t="shared" si="138"/>
        <v>30000</v>
      </c>
      <c r="F844" s="549">
        <f t="shared" si="138"/>
        <v>0</v>
      </c>
      <c r="G844" s="1424">
        <f t="shared" si="137"/>
        <v>0</v>
      </c>
    </row>
    <row r="845" spans="1:7" ht="17.100000000000001" hidden="1" customHeight="1">
      <c r="A845" s="548"/>
      <c r="B845" s="743"/>
      <c r="C845" s="2882" t="s">
        <v>567</v>
      </c>
      <c r="D845" s="2882"/>
      <c r="E845" s="1678">
        <f>E846</f>
        <v>30000</v>
      </c>
      <c r="F845" s="1678">
        <f t="shared" si="138"/>
        <v>0</v>
      </c>
      <c r="G845" s="1679">
        <f t="shared" si="137"/>
        <v>0</v>
      </c>
    </row>
    <row r="846" spans="1:7" ht="32.25" hidden="1" customHeight="1" thickBot="1">
      <c r="A846" s="548"/>
      <c r="B846" s="743"/>
      <c r="C846" s="586" t="s">
        <v>277</v>
      </c>
      <c r="D846" s="1541" t="s">
        <v>657</v>
      </c>
      <c r="E846" s="552">
        <v>30000</v>
      </c>
      <c r="F846" s="552">
        <v>0</v>
      </c>
      <c r="G846" s="1679">
        <f t="shared" si="137"/>
        <v>0</v>
      </c>
    </row>
    <row r="847" spans="1:7" ht="17.100000000000001" customHeight="1" thickBot="1">
      <c r="A847" s="548"/>
      <c r="B847" s="559" t="s">
        <v>704</v>
      </c>
      <c r="C847" s="560"/>
      <c r="D847" s="561" t="s">
        <v>318</v>
      </c>
      <c r="E847" s="562">
        <f t="shared" ref="E847:F848" si="139">E848</f>
        <v>20000</v>
      </c>
      <c r="F847" s="562">
        <f t="shared" si="139"/>
        <v>20000</v>
      </c>
      <c r="G847" s="1478">
        <f t="shared" si="137"/>
        <v>1</v>
      </c>
    </row>
    <row r="848" spans="1:7" ht="17.100000000000001" customHeight="1">
      <c r="A848" s="548"/>
      <c r="B848" s="2771"/>
      <c r="C848" s="2853" t="s">
        <v>685</v>
      </c>
      <c r="D848" s="2853"/>
      <c r="E848" s="549">
        <f t="shared" si="139"/>
        <v>20000</v>
      </c>
      <c r="F848" s="549">
        <f t="shared" si="139"/>
        <v>20000</v>
      </c>
      <c r="G848" s="1424">
        <f t="shared" si="137"/>
        <v>1</v>
      </c>
    </row>
    <row r="849" spans="1:7" ht="17.100000000000001" customHeight="1">
      <c r="A849" s="548"/>
      <c r="B849" s="2771"/>
      <c r="C849" s="2880" t="s">
        <v>471</v>
      </c>
      <c r="D849" s="2880"/>
      <c r="E849" s="1436">
        <f t="shared" ref="E849:F849" si="140">E850+E855</f>
        <v>20000</v>
      </c>
      <c r="F849" s="1436">
        <f t="shared" si="140"/>
        <v>20000</v>
      </c>
      <c r="G849" s="1437">
        <f t="shared" si="137"/>
        <v>1</v>
      </c>
    </row>
    <row r="850" spans="1:7" ht="17.100000000000001" customHeight="1">
      <c r="A850" s="548"/>
      <c r="B850" s="2771"/>
      <c r="C850" s="2881" t="s">
        <v>472</v>
      </c>
      <c r="D850" s="2881"/>
      <c r="E850" s="1461">
        <f t="shared" ref="E850:F850" si="141">SUM(E851:E853)</f>
        <v>9000</v>
      </c>
      <c r="F850" s="1461">
        <f t="shared" si="141"/>
        <v>11270</v>
      </c>
      <c r="G850" s="1462">
        <f t="shared" si="137"/>
        <v>1.2522222222222221</v>
      </c>
    </row>
    <row r="851" spans="1:7" ht="17.100000000000001" customHeight="1">
      <c r="A851" s="548"/>
      <c r="B851" s="2771"/>
      <c r="C851" s="1662" t="s">
        <v>477</v>
      </c>
      <c r="D851" s="1663" t="s">
        <v>478</v>
      </c>
      <c r="E851" s="1436">
        <v>700</v>
      </c>
      <c r="F851" s="1436">
        <v>700</v>
      </c>
      <c r="G851" s="1437">
        <f t="shared" si="137"/>
        <v>1</v>
      </c>
    </row>
    <row r="852" spans="1:7" ht="28.5" customHeight="1">
      <c r="A852" s="548"/>
      <c r="B852" s="2771"/>
      <c r="C852" s="1662" t="s">
        <v>479</v>
      </c>
      <c r="D852" s="1663" t="s">
        <v>1028</v>
      </c>
      <c r="E852" s="1436">
        <v>140</v>
      </c>
      <c r="F852" s="1436">
        <v>140</v>
      </c>
      <c r="G852" s="1437">
        <f t="shared" si="137"/>
        <v>1</v>
      </c>
    </row>
    <row r="853" spans="1:7" ht="17.100000000000001" customHeight="1">
      <c r="A853" s="548"/>
      <c r="B853" s="746"/>
      <c r="C853" s="1662" t="s">
        <v>481</v>
      </c>
      <c r="D853" s="1663" t="s">
        <v>482</v>
      </c>
      <c r="E853" s="1436">
        <v>8160</v>
      </c>
      <c r="F853" s="1436">
        <v>10430</v>
      </c>
      <c r="G853" s="1437">
        <f t="shared" si="137"/>
        <v>1.2781862745098038</v>
      </c>
    </row>
    <row r="854" spans="1:7" ht="17.100000000000001" customHeight="1">
      <c r="A854" s="548"/>
      <c r="B854" s="746"/>
      <c r="C854" s="595"/>
      <c r="D854" s="1658"/>
      <c r="E854" s="574"/>
      <c r="F854" s="574"/>
      <c r="G854" s="1510"/>
    </row>
    <row r="855" spans="1:7" ht="17.100000000000001" customHeight="1">
      <c r="A855" s="548"/>
      <c r="B855" s="746"/>
      <c r="C855" s="2889" t="s">
        <v>483</v>
      </c>
      <c r="D855" s="2889"/>
      <c r="E855" s="577">
        <f t="shared" ref="E855:F855" si="142">SUM(E856:E857)</f>
        <v>11000</v>
      </c>
      <c r="F855" s="577">
        <f t="shared" si="142"/>
        <v>8730</v>
      </c>
      <c r="G855" s="1543">
        <f t="shared" si="137"/>
        <v>0.79363636363636358</v>
      </c>
    </row>
    <row r="856" spans="1:7" ht="17.100000000000001" customHeight="1">
      <c r="A856" s="548"/>
      <c r="B856" s="746"/>
      <c r="C856" s="1665" t="s">
        <v>486</v>
      </c>
      <c r="D856" s="1666" t="s">
        <v>487</v>
      </c>
      <c r="E856" s="1680">
        <v>3500</v>
      </c>
      <c r="F856" s="1680">
        <v>3500</v>
      </c>
      <c r="G856" s="1681">
        <f t="shared" si="137"/>
        <v>1</v>
      </c>
    </row>
    <row r="857" spans="1:7" ht="17.100000000000001" customHeight="1" thickBot="1">
      <c r="A857" s="548"/>
      <c r="B857" s="746"/>
      <c r="C857" s="586" t="s">
        <v>496</v>
      </c>
      <c r="D857" s="1541" t="s">
        <v>497</v>
      </c>
      <c r="E857" s="552">
        <v>7500</v>
      </c>
      <c r="F857" s="552">
        <v>5230</v>
      </c>
      <c r="G857" s="1445">
        <f t="shared" si="137"/>
        <v>0.69733333333333336</v>
      </c>
    </row>
    <row r="858" spans="1:7" ht="17.100000000000001" customHeight="1" thickBot="1">
      <c r="A858" s="548"/>
      <c r="B858" s="559" t="s">
        <v>3</v>
      </c>
      <c r="C858" s="560"/>
      <c r="D858" s="561" t="s">
        <v>6</v>
      </c>
      <c r="E858" s="562">
        <f>E859+E911</f>
        <v>18621166</v>
      </c>
      <c r="F858" s="562">
        <f>F859+F911</f>
        <v>18420766</v>
      </c>
      <c r="G858" s="1478">
        <f t="shared" si="137"/>
        <v>0.98923805308432355</v>
      </c>
    </row>
    <row r="859" spans="1:7" ht="17.100000000000001" customHeight="1">
      <c r="A859" s="548"/>
      <c r="B859" s="2888"/>
      <c r="C859" s="2853" t="s">
        <v>470</v>
      </c>
      <c r="D859" s="2853"/>
      <c r="E859" s="549">
        <f>E860+E873+E877</f>
        <v>18194626</v>
      </c>
      <c r="F859" s="549">
        <f t="shared" ref="F859" si="143">F860+F873+F877</f>
        <v>18000766</v>
      </c>
      <c r="G859" s="1424">
        <f t="shared" si="137"/>
        <v>0.98934520555684957</v>
      </c>
    </row>
    <row r="860" spans="1:7" ht="17.100000000000001" customHeight="1">
      <c r="A860" s="548"/>
      <c r="B860" s="2888"/>
      <c r="C860" s="2880" t="s">
        <v>471</v>
      </c>
      <c r="D860" s="2880"/>
      <c r="E860" s="1436">
        <f>E861+E864</f>
        <v>14186332</v>
      </c>
      <c r="F860" s="1436">
        <f t="shared" ref="F860" si="144">F861+F864</f>
        <v>15546053</v>
      </c>
      <c r="G860" s="1437">
        <f t="shared" si="137"/>
        <v>1.095847256359149</v>
      </c>
    </row>
    <row r="861" spans="1:7" ht="17.100000000000001" customHeight="1">
      <c r="A861" s="548"/>
      <c r="B861" s="2888"/>
      <c r="C861" s="2881" t="s">
        <v>472</v>
      </c>
      <c r="D861" s="2881"/>
      <c r="E861" s="1461">
        <f>SUM(E862:E862)</f>
        <v>28600</v>
      </c>
      <c r="F861" s="1461">
        <f t="shared" ref="F861" si="145">SUM(F862:F862)</f>
        <v>26265</v>
      </c>
      <c r="G861" s="1462">
        <f t="shared" si="137"/>
        <v>0.91835664335664335</v>
      </c>
    </row>
    <row r="862" spans="1:7" ht="17.100000000000001" customHeight="1">
      <c r="A862" s="548"/>
      <c r="B862" s="2888"/>
      <c r="C862" s="1662" t="s">
        <v>481</v>
      </c>
      <c r="D862" s="1663" t="s">
        <v>482</v>
      </c>
      <c r="E862" s="1436">
        <f>15100+10000+3500</f>
        <v>28600</v>
      </c>
      <c r="F862" s="1436">
        <f>5253+21012</f>
        <v>26265</v>
      </c>
      <c r="G862" s="1437">
        <f t="shared" si="137"/>
        <v>0.91835664335664335</v>
      </c>
    </row>
    <row r="863" spans="1:7" ht="17.100000000000001" customHeight="1">
      <c r="A863" s="548"/>
      <c r="B863" s="2888"/>
      <c r="C863" s="553"/>
      <c r="D863" s="553"/>
      <c r="E863" s="550"/>
      <c r="F863" s="550"/>
      <c r="G863" s="1433"/>
    </row>
    <row r="864" spans="1:7" ht="17.100000000000001" customHeight="1">
      <c r="A864" s="548"/>
      <c r="B864" s="2888"/>
      <c r="C864" s="2891" t="s">
        <v>483</v>
      </c>
      <c r="D864" s="2892"/>
      <c r="E864" s="1461">
        <f>SUM(E865:E871)</f>
        <v>14157732</v>
      </c>
      <c r="F864" s="1461">
        <f>SUM(F865:F871)</f>
        <v>15519788</v>
      </c>
      <c r="G864" s="1462">
        <f t="shared" si="137"/>
        <v>1.0962058047150489</v>
      </c>
    </row>
    <row r="865" spans="1:7" ht="17.100000000000001" customHeight="1">
      <c r="A865" s="548"/>
      <c r="B865" s="2888"/>
      <c r="C865" s="1664" t="s">
        <v>577</v>
      </c>
      <c r="D865" s="1682" t="s">
        <v>551</v>
      </c>
      <c r="E865" s="1436">
        <f>30000+68426</f>
        <v>98426</v>
      </c>
      <c r="F865" s="1436">
        <f>30000+65000</f>
        <v>95000</v>
      </c>
      <c r="G865" s="1437">
        <f t="shared" si="137"/>
        <v>0.96519212403226795</v>
      </c>
    </row>
    <row r="866" spans="1:7" ht="17.100000000000001" customHeight="1">
      <c r="A866" s="548"/>
      <c r="B866" s="2888"/>
      <c r="C866" s="1668" t="s">
        <v>486</v>
      </c>
      <c r="D866" s="1663" t="s">
        <v>487</v>
      </c>
      <c r="E866" s="1436">
        <f>94000+31000+567750+1000+34200</f>
        <v>727950</v>
      </c>
      <c r="F866" s="1436">
        <f>69000+47020+495000+8000+14000</f>
        <v>633020</v>
      </c>
      <c r="G866" s="1437">
        <f t="shared" si="137"/>
        <v>0.86959269180575594</v>
      </c>
    </row>
    <row r="867" spans="1:7" ht="17.100000000000001" customHeight="1">
      <c r="A867" s="548"/>
      <c r="B867" s="2888"/>
      <c r="C867" s="1662" t="s">
        <v>496</v>
      </c>
      <c r="D867" s="1663" t="s">
        <v>497</v>
      </c>
      <c r="E867" s="1436">
        <f>417000+45000+10626582+130000+119774</f>
        <v>11338356</v>
      </c>
      <c r="F867" s="1436">
        <f>577000+30000+13491920+120000+147848</f>
        <v>14366768</v>
      </c>
      <c r="G867" s="1437">
        <f t="shared" si="137"/>
        <v>1.2670944535521729</v>
      </c>
    </row>
    <row r="868" spans="1:7" ht="17.100000000000001" customHeight="1">
      <c r="A868" s="548"/>
      <c r="B868" s="2888"/>
      <c r="C868" s="1662" t="s">
        <v>686</v>
      </c>
      <c r="D868" s="1663" t="s">
        <v>649</v>
      </c>
      <c r="E868" s="1436">
        <f>25000+31000</f>
        <v>56000</v>
      </c>
      <c r="F868" s="1436">
        <f>25000+30000</f>
        <v>55000</v>
      </c>
      <c r="G868" s="1437">
        <f t="shared" si="137"/>
        <v>0.9821428571428571</v>
      </c>
    </row>
    <row r="869" spans="1:7" ht="17.100000000000001" customHeight="1">
      <c r="A869" s="548"/>
      <c r="B869" s="2888"/>
      <c r="C869" s="1668" t="s">
        <v>500</v>
      </c>
      <c r="D869" s="1669" t="s">
        <v>501</v>
      </c>
      <c r="E869" s="1436">
        <v>205000</v>
      </c>
      <c r="F869" s="1436">
        <v>350000</v>
      </c>
      <c r="G869" s="1437">
        <f t="shared" si="137"/>
        <v>1.7073170731707317</v>
      </c>
    </row>
    <row r="870" spans="1:7" ht="17.100000000000001" customHeight="1">
      <c r="A870" s="548"/>
      <c r="B870" s="2888"/>
      <c r="C870" s="1683" t="s">
        <v>630</v>
      </c>
      <c r="D870" s="1684" t="s">
        <v>631</v>
      </c>
      <c r="E870" s="1436">
        <v>7000</v>
      </c>
      <c r="F870" s="1436">
        <v>20000</v>
      </c>
      <c r="G870" s="1437">
        <f t="shared" si="137"/>
        <v>2.8571428571428572</v>
      </c>
    </row>
    <row r="871" spans="1:7" ht="17.100000000000001" hidden="1" customHeight="1">
      <c r="A871" s="548"/>
      <c r="B871" s="2888"/>
      <c r="C871" s="1685" t="s">
        <v>516</v>
      </c>
      <c r="D871" s="1686" t="s">
        <v>517</v>
      </c>
      <c r="E871" s="1436">
        <v>1725000</v>
      </c>
      <c r="F871" s="1436">
        <v>0</v>
      </c>
      <c r="G871" s="1437">
        <f t="shared" si="137"/>
        <v>0</v>
      </c>
    </row>
    <row r="872" spans="1:7" ht="17.100000000000001" customHeight="1">
      <c r="A872" s="548"/>
      <c r="B872" s="2888"/>
      <c r="C872" s="553"/>
      <c r="D872" s="553"/>
      <c r="E872" s="550"/>
      <c r="F872" s="1436"/>
      <c r="G872" s="1433"/>
    </row>
    <row r="873" spans="1:7" ht="17.100000000000001" customHeight="1">
      <c r="A873" s="548"/>
      <c r="B873" s="2888"/>
      <c r="C873" s="2884" t="s">
        <v>567</v>
      </c>
      <c r="D873" s="2884"/>
      <c r="E873" s="1436">
        <f>E874+E875</f>
        <v>325097</v>
      </c>
      <c r="F873" s="1436">
        <f>F874+F875</f>
        <v>295097</v>
      </c>
      <c r="G873" s="1437">
        <f t="shared" si="137"/>
        <v>0.90771984976791542</v>
      </c>
    </row>
    <row r="874" spans="1:7" ht="40.5" customHeight="1">
      <c r="A874" s="548"/>
      <c r="B874" s="2888"/>
      <c r="C874" s="1662" t="s">
        <v>13</v>
      </c>
      <c r="D874" s="1663" t="s">
        <v>653</v>
      </c>
      <c r="E874" s="1436">
        <v>295097</v>
      </c>
      <c r="F874" s="1436">
        <v>295097</v>
      </c>
      <c r="G874" s="1437">
        <f t="shared" si="137"/>
        <v>1</v>
      </c>
    </row>
    <row r="875" spans="1:7" ht="27.75" hidden="1" customHeight="1">
      <c r="A875" s="548"/>
      <c r="B875" s="2888"/>
      <c r="C875" s="1685" t="s">
        <v>277</v>
      </c>
      <c r="D875" s="1686" t="s">
        <v>657</v>
      </c>
      <c r="E875" s="564">
        <v>30000</v>
      </c>
      <c r="F875" s="564">
        <v>0</v>
      </c>
      <c r="G875" s="1497">
        <f t="shared" si="137"/>
        <v>0</v>
      </c>
    </row>
    <row r="876" spans="1:7" ht="18" customHeight="1">
      <c r="A876" s="548"/>
      <c r="B876" s="2888"/>
      <c r="C876" s="553"/>
      <c r="D876" s="553"/>
      <c r="E876" s="550"/>
      <c r="F876" s="550"/>
      <c r="G876" s="1433"/>
    </row>
    <row r="877" spans="1:7" ht="18" customHeight="1">
      <c r="A877" s="548"/>
      <c r="B877" s="2888"/>
      <c r="C877" s="2880" t="s">
        <v>536</v>
      </c>
      <c r="D877" s="2880"/>
      <c r="E877" s="1436">
        <f>SUM(E878:E909)</f>
        <v>3683197</v>
      </c>
      <c r="F877" s="1436">
        <f>SUM(F878:F909)</f>
        <v>2159616</v>
      </c>
      <c r="G877" s="1437">
        <f t="shared" si="137"/>
        <v>0.58634278861543387</v>
      </c>
    </row>
    <row r="878" spans="1:7" ht="52.5" customHeight="1">
      <c r="A878" s="548"/>
      <c r="B878" s="2888"/>
      <c r="C878" s="1687" t="s">
        <v>537</v>
      </c>
      <c r="D878" s="1688" t="s">
        <v>538</v>
      </c>
      <c r="E878" s="1436">
        <v>0</v>
      </c>
      <c r="F878" s="1436">
        <v>13310</v>
      </c>
      <c r="G878" s="1437"/>
    </row>
    <row r="879" spans="1:7" ht="39" hidden="1" customHeight="1">
      <c r="A879" s="548"/>
      <c r="B879" s="2888"/>
      <c r="C879" s="1687" t="s">
        <v>305</v>
      </c>
      <c r="D879" s="1688" t="s">
        <v>593</v>
      </c>
      <c r="E879" s="1436">
        <v>25</v>
      </c>
      <c r="F879" s="1436">
        <v>0</v>
      </c>
      <c r="G879" s="1437">
        <f t="shared" si="137"/>
        <v>0</v>
      </c>
    </row>
    <row r="880" spans="1:7" ht="18" hidden="1" customHeight="1">
      <c r="A880" s="548"/>
      <c r="B880" s="2888"/>
      <c r="C880" s="1687" t="s">
        <v>595</v>
      </c>
      <c r="D880" s="1688" t="s">
        <v>594</v>
      </c>
      <c r="E880" s="1689"/>
      <c r="F880" s="1689"/>
      <c r="G880" s="1690" t="e">
        <f t="shared" si="137"/>
        <v>#DIV/0!</v>
      </c>
    </row>
    <row r="881" spans="1:7" ht="18" customHeight="1">
      <c r="A881" s="548"/>
      <c r="B881" s="2888"/>
      <c r="C881" s="1691" t="s">
        <v>596</v>
      </c>
      <c r="D881" s="1663" t="s">
        <v>474</v>
      </c>
      <c r="E881" s="1689">
        <v>450000</v>
      </c>
      <c r="F881" s="1689">
        <v>470000</v>
      </c>
      <c r="G881" s="1690">
        <f t="shared" si="137"/>
        <v>1.0444444444444445</v>
      </c>
    </row>
    <row r="882" spans="1:7" ht="18" customHeight="1">
      <c r="A882" s="548"/>
      <c r="B882" s="2888"/>
      <c r="C882" s="1692" t="s">
        <v>540</v>
      </c>
      <c r="D882" s="1599" t="s">
        <v>474</v>
      </c>
      <c r="E882" s="1693">
        <v>57383</v>
      </c>
      <c r="F882" s="1693">
        <v>33683</v>
      </c>
      <c r="G882" s="1694">
        <f t="shared" si="137"/>
        <v>0.58698569262673617</v>
      </c>
    </row>
    <row r="883" spans="1:7" ht="18" customHeight="1">
      <c r="A883" s="548"/>
      <c r="B883" s="2888"/>
      <c r="C883" s="1695" t="s">
        <v>541</v>
      </c>
      <c r="D883" s="1696" t="s">
        <v>474</v>
      </c>
      <c r="E883" s="1697">
        <v>8889</v>
      </c>
      <c r="F883" s="1697">
        <v>3742</v>
      </c>
      <c r="G883" s="1698">
        <f t="shared" si="137"/>
        <v>0.42096973787827652</v>
      </c>
    </row>
    <row r="884" spans="1:7" ht="18" customHeight="1">
      <c r="A884" s="548"/>
      <c r="B884" s="2888"/>
      <c r="C884" s="1699" t="s">
        <v>598</v>
      </c>
      <c r="D884" s="1700" t="s">
        <v>478</v>
      </c>
      <c r="E884" s="1701">
        <v>78210</v>
      </c>
      <c r="F884" s="1701">
        <v>81686</v>
      </c>
      <c r="G884" s="1702">
        <f t="shared" si="137"/>
        <v>1.0444444444444445</v>
      </c>
    </row>
    <row r="885" spans="1:7" ht="18" customHeight="1">
      <c r="A885" s="548"/>
      <c r="B885" s="2888"/>
      <c r="C885" s="1703" t="s">
        <v>544</v>
      </c>
      <c r="D885" s="1704" t="s">
        <v>478</v>
      </c>
      <c r="E885" s="1705">
        <v>9974</v>
      </c>
      <c r="F885" s="1705">
        <v>5848</v>
      </c>
      <c r="G885" s="1706">
        <f t="shared" si="137"/>
        <v>0.58632444355323843</v>
      </c>
    </row>
    <row r="886" spans="1:7" ht="18" customHeight="1">
      <c r="A886" s="548"/>
      <c r="B886" s="2888"/>
      <c r="C886" s="1707" t="s">
        <v>545</v>
      </c>
      <c r="D886" s="1708" t="s">
        <v>478</v>
      </c>
      <c r="E886" s="1709">
        <v>1544</v>
      </c>
      <c r="F886" s="1709">
        <v>650</v>
      </c>
      <c r="G886" s="1710">
        <f t="shared" si="137"/>
        <v>0.42098445595854922</v>
      </c>
    </row>
    <row r="887" spans="1:7" ht="28.5" customHeight="1">
      <c r="A887" s="548"/>
      <c r="B887" s="2888"/>
      <c r="C887" s="1711" t="s">
        <v>599</v>
      </c>
      <c r="D887" s="1712" t="s">
        <v>1028</v>
      </c>
      <c r="E887" s="1713">
        <v>11025</v>
      </c>
      <c r="F887" s="1713">
        <v>11515</v>
      </c>
      <c r="G887" s="1714">
        <f t="shared" si="137"/>
        <v>1.0444444444444445</v>
      </c>
    </row>
    <row r="888" spans="1:7" ht="29.25" customHeight="1">
      <c r="A888" s="548"/>
      <c r="B888" s="2888"/>
      <c r="C888" s="1715" t="s">
        <v>546</v>
      </c>
      <c r="D888" s="1716" t="s">
        <v>1028</v>
      </c>
      <c r="E888" s="1717">
        <v>1406</v>
      </c>
      <c r="F888" s="1717">
        <v>825</v>
      </c>
      <c r="G888" s="1718">
        <f t="shared" si="137"/>
        <v>0.58677098150782359</v>
      </c>
    </row>
    <row r="889" spans="1:7" ht="27.75" customHeight="1">
      <c r="A889" s="548"/>
      <c r="B889" s="2888"/>
      <c r="C889" s="1719" t="s">
        <v>547</v>
      </c>
      <c r="D889" s="1720" t="s">
        <v>1028</v>
      </c>
      <c r="E889" s="1721">
        <v>218</v>
      </c>
      <c r="F889" s="1721">
        <v>92</v>
      </c>
      <c r="G889" s="1722">
        <f t="shared" si="137"/>
        <v>0.42201834862385323</v>
      </c>
    </row>
    <row r="890" spans="1:7" ht="18" customHeight="1">
      <c r="A890" s="548"/>
      <c r="B890" s="2888"/>
      <c r="C890" s="1723" t="s">
        <v>673</v>
      </c>
      <c r="D890" s="1724" t="s">
        <v>482</v>
      </c>
      <c r="E890" s="1725">
        <v>20000</v>
      </c>
      <c r="F890" s="1725">
        <v>20000</v>
      </c>
      <c r="G890" s="1726">
        <f t="shared" si="137"/>
        <v>1</v>
      </c>
    </row>
    <row r="891" spans="1:7" ht="18" customHeight="1">
      <c r="A891" s="548"/>
      <c r="B891" s="2888"/>
      <c r="C891" s="1727" t="s">
        <v>600</v>
      </c>
      <c r="D891" s="1728" t="s">
        <v>487</v>
      </c>
      <c r="E891" s="1729">
        <v>140000</v>
      </c>
      <c r="F891" s="1729">
        <v>100000</v>
      </c>
      <c r="G891" s="1730">
        <f t="shared" si="137"/>
        <v>0.7142857142857143</v>
      </c>
    </row>
    <row r="892" spans="1:7" ht="18" customHeight="1">
      <c r="A892" s="548"/>
      <c r="B892" s="2888"/>
      <c r="C892" s="1731" t="s">
        <v>553</v>
      </c>
      <c r="D892" s="1732" t="s">
        <v>487</v>
      </c>
      <c r="E892" s="1733">
        <v>202669</v>
      </c>
      <c r="F892" s="1733">
        <v>6178</v>
      </c>
      <c r="G892" s="1734">
        <f t="shared" si="137"/>
        <v>3.0483201673664941E-2</v>
      </c>
    </row>
    <row r="893" spans="1:7" ht="18" customHeight="1">
      <c r="A893" s="548"/>
      <c r="B893" s="2888"/>
      <c r="C893" s="1735" t="s">
        <v>554</v>
      </c>
      <c r="D893" s="1736" t="s">
        <v>487</v>
      </c>
      <c r="E893" s="1737">
        <v>35537</v>
      </c>
      <c r="F893" s="1737">
        <v>687</v>
      </c>
      <c r="G893" s="1738">
        <f t="shared" ref="G893:G965" si="146">F893/E893</f>
        <v>1.9331963868643949E-2</v>
      </c>
    </row>
    <row r="894" spans="1:7" ht="18" hidden="1" customHeight="1">
      <c r="A894" s="548"/>
      <c r="B894" s="2888"/>
      <c r="C894" s="1739" t="s">
        <v>496</v>
      </c>
      <c r="D894" s="1740" t="s">
        <v>497</v>
      </c>
      <c r="E894" s="1741">
        <f>62+4380</f>
        <v>4442</v>
      </c>
      <c r="F894" s="1741">
        <v>0</v>
      </c>
      <c r="G894" s="1742">
        <f t="shared" si="146"/>
        <v>0</v>
      </c>
    </row>
    <row r="895" spans="1:7" ht="18" customHeight="1">
      <c r="A895" s="548"/>
      <c r="B895" s="2888"/>
      <c r="C895" s="1743" t="s">
        <v>601</v>
      </c>
      <c r="D895" s="1744" t="s">
        <v>497</v>
      </c>
      <c r="E895" s="1745">
        <v>2252765</v>
      </c>
      <c r="F895" s="1745">
        <v>940169</v>
      </c>
      <c r="G895" s="1746">
        <f t="shared" si="146"/>
        <v>0.41734002437005191</v>
      </c>
    </row>
    <row r="896" spans="1:7" ht="18" customHeight="1">
      <c r="A896" s="548"/>
      <c r="B896" s="2888"/>
      <c r="C896" s="1747" t="s">
        <v>557</v>
      </c>
      <c r="D896" s="1748" t="s">
        <v>497</v>
      </c>
      <c r="E896" s="1749">
        <v>136262</v>
      </c>
      <c r="F896" s="1749">
        <v>293144</v>
      </c>
      <c r="G896" s="1750">
        <f t="shared" si="146"/>
        <v>2.1513261217360671</v>
      </c>
    </row>
    <row r="897" spans="1:7" ht="18" customHeight="1">
      <c r="A897" s="548"/>
      <c r="B897" s="2888"/>
      <c r="C897" s="1751" t="s">
        <v>558</v>
      </c>
      <c r="D897" s="1752" t="s">
        <v>497</v>
      </c>
      <c r="E897" s="1753">
        <v>18146</v>
      </c>
      <c r="F897" s="1753">
        <v>32571</v>
      </c>
      <c r="G897" s="1754">
        <f t="shared" si="146"/>
        <v>1.7949410338366583</v>
      </c>
    </row>
    <row r="898" spans="1:7" ht="18" customHeight="1">
      <c r="A898" s="548"/>
      <c r="B898" s="2888"/>
      <c r="C898" s="1755" t="s">
        <v>674</v>
      </c>
      <c r="D898" s="1756" t="s">
        <v>649</v>
      </c>
      <c r="E898" s="1757">
        <v>120000</v>
      </c>
      <c r="F898" s="1757">
        <v>20000</v>
      </c>
      <c r="G898" s="1758">
        <f t="shared" si="146"/>
        <v>0.16666666666666666</v>
      </c>
    </row>
    <row r="899" spans="1:7" ht="18" customHeight="1">
      <c r="A899" s="548"/>
      <c r="B899" s="2888"/>
      <c r="C899" s="1759" t="s">
        <v>675</v>
      </c>
      <c r="D899" s="1760" t="s">
        <v>649</v>
      </c>
      <c r="E899" s="1761">
        <v>1985</v>
      </c>
      <c r="F899" s="1761">
        <v>4132</v>
      </c>
      <c r="G899" s="1762">
        <f t="shared" si="146"/>
        <v>2.0816120906801006</v>
      </c>
    </row>
    <row r="900" spans="1:7" ht="18" customHeight="1">
      <c r="A900" s="548"/>
      <c r="B900" s="2888"/>
      <c r="C900" s="1763" t="s">
        <v>648</v>
      </c>
      <c r="D900" s="1764" t="s">
        <v>649</v>
      </c>
      <c r="E900" s="1765">
        <v>221</v>
      </c>
      <c r="F900" s="1765">
        <v>460</v>
      </c>
      <c r="G900" s="1766">
        <f t="shared" si="146"/>
        <v>2.0814479638009051</v>
      </c>
    </row>
    <row r="901" spans="1:7" ht="18" customHeight="1">
      <c r="A901" s="548"/>
      <c r="B901" s="2888"/>
      <c r="C901" s="1767" t="s">
        <v>676</v>
      </c>
      <c r="D901" s="1669" t="s">
        <v>501</v>
      </c>
      <c r="E901" s="1765">
        <v>20000</v>
      </c>
      <c r="F901" s="1765">
        <v>20000</v>
      </c>
      <c r="G901" s="1766">
        <f t="shared" si="146"/>
        <v>1</v>
      </c>
    </row>
    <row r="902" spans="1:7" ht="18" customHeight="1">
      <c r="A902" s="548"/>
      <c r="B902" s="2888"/>
      <c r="C902" s="1767" t="s">
        <v>602</v>
      </c>
      <c r="D902" s="1768" t="s">
        <v>505</v>
      </c>
      <c r="E902" s="1769">
        <v>8000</v>
      </c>
      <c r="F902" s="1769">
        <v>5000</v>
      </c>
      <c r="G902" s="1770">
        <f t="shared" si="146"/>
        <v>0.625</v>
      </c>
    </row>
    <row r="903" spans="1:7" ht="16.5" hidden="1" customHeight="1">
      <c r="A903" s="548"/>
      <c r="B903" s="2888"/>
      <c r="C903" s="1771" t="s">
        <v>561</v>
      </c>
      <c r="D903" s="1772" t="s">
        <v>505</v>
      </c>
      <c r="E903" s="1773">
        <v>680</v>
      </c>
      <c r="F903" s="1773">
        <v>0</v>
      </c>
      <c r="G903" s="1774">
        <f t="shared" si="146"/>
        <v>0</v>
      </c>
    </row>
    <row r="904" spans="1:7" ht="19.5" hidden="1" customHeight="1">
      <c r="A904" s="548"/>
      <c r="B904" s="2888"/>
      <c r="C904" s="1775" t="s">
        <v>562</v>
      </c>
      <c r="D904" s="1776" t="s">
        <v>505</v>
      </c>
      <c r="E904" s="1777">
        <v>120</v>
      </c>
      <c r="F904" s="1777">
        <v>0</v>
      </c>
      <c r="G904" s="1778">
        <f t="shared" si="146"/>
        <v>0</v>
      </c>
    </row>
    <row r="905" spans="1:7" ht="18" hidden="1" customHeight="1">
      <c r="A905" s="548"/>
      <c r="B905" s="2888"/>
      <c r="C905" s="1779" t="s">
        <v>630</v>
      </c>
      <c r="D905" s="1780" t="s">
        <v>631</v>
      </c>
      <c r="E905" s="1777"/>
      <c r="F905" s="1777"/>
      <c r="G905" s="1778" t="e">
        <f t="shared" si="146"/>
        <v>#DIV/0!</v>
      </c>
    </row>
    <row r="906" spans="1:7" ht="18" customHeight="1">
      <c r="A906" s="548"/>
      <c r="B906" s="2888"/>
      <c r="C906" s="1779" t="s">
        <v>677</v>
      </c>
      <c r="D906" s="1780" t="s">
        <v>631</v>
      </c>
      <c r="E906" s="1777">
        <v>70000</v>
      </c>
      <c r="F906" s="1777">
        <v>80000</v>
      </c>
      <c r="G906" s="1778">
        <f t="shared" si="146"/>
        <v>1.1428571428571428</v>
      </c>
    </row>
    <row r="907" spans="1:7" ht="18" customHeight="1">
      <c r="A907" s="548"/>
      <c r="B907" s="2888"/>
      <c r="C907" s="1779" t="s">
        <v>650</v>
      </c>
      <c r="D907" s="1780" t="s">
        <v>631</v>
      </c>
      <c r="E907" s="1777">
        <v>3326</v>
      </c>
      <c r="F907" s="1777">
        <v>831</v>
      </c>
      <c r="G907" s="1778">
        <f t="shared" si="146"/>
        <v>0.24984966927239927</v>
      </c>
    </row>
    <row r="908" spans="1:7" ht="18" customHeight="1">
      <c r="A908" s="548"/>
      <c r="B908" s="2888"/>
      <c r="C908" s="1779" t="s">
        <v>651</v>
      </c>
      <c r="D908" s="1780" t="s">
        <v>631</v>
      </c>
      <c r="E908" s="1777">
        <v>370</v>
      </c>
      <c r="F908" s="1777">
        <v>93</v>
      </c>
      <c r="G908" s="1778">
        <f t="shared" si="146"/>
        <v>0.25135135135135134</v>
      </c>
    </row>
    <row r="909" spans="1:7" ht="18" customHeight="1">
      <c r="A909" s="548"/>
      <c r="B909" s="2888"/>
      <c r="C909" s="1779" t="s">
        <v>603</v>
      </c>
      <c r="D909" s="1780" t="s">
        <v>705</v>
      </c>
      <c r="E909" s="1777">
        <v>30000</v>
      </c>
      <c r="F909" s="1777">
        <v>15000</v>
      </c>
      <c r="G909" s="1778">
        <f t="shared" si="146"/>
        <v>0.5</v>
      </c>
    </row>
    <row r="910" spans="1:7" ht="18" customHeight="1">
      <c r="A910" s="548"/>
      <c r="B910" s="2888"/>
      <c r="C910" s="1781"/>
      <c r="D910" s="1781"/>
      <c r="E910" s="1777"/>
      <c r="F910" s="1777"/>
      <c r="G910" s="1782"/>
    </row>
    <row r="911" spans="1:7" ht="17.100000000000001" customHeight="1">
      <c r="A911" s="548"/>
      <c r="B911" s="2888"/>
      <c r="C911" s="2893" t="s">
        <v>523</v>
      </c>
      <c r="D911" s="2893"/>
      <c r="E911" s="1783">
        <f t="shared" ref="E911:F911" si="147">E912</f>
        <v>426540</v>
      </c>
      <c r="F911" s="1783">
        <f t="shared" si="147"/>
        <v>420000</v>
      </c>
      <c r="G911" s="1784">
        <f t="shared" si="146"/>
        <v>0.9846673231115487</v>
      </c>
    </row>
    <row r="912" spans="1:7" ht="17.100000000000001" customHeight="1">
      <c r="A912" s="548"/>
      <c r="B912" s="2888"/>
      <c r="C912" s="2894" t="s">
        <v>524</v>
      </c>
      <c r="D912" s="2895"/>
      <c r="E912" s="1785">
        <f>SUM(E913:E917)</f>
        <v>426540</v>
      </c>
      <c r="F912" s="1785">
        <f t="shared" ref="F912" si="148">SUM(F913:F917)</f>
        <v>420000</v>
      </c>
      <c r="G912" s="1778">
        <f t="shared" si="146"/>
        <v>0.9846673231115487</v>
      </c>
    </row>
    <row r="913" spans="1:7" ht="17.100000000000001" customHeight="1">
      <c r="A913" s="548"/>
      <c r="B913" s="2888"/>
      <c r="C913" s="1786" t="s">
        <v>525</v>
      </c>
      <c r="D913" s="1787" t="s">
        <v>571</v>
      </c>
      <c r="E913" s="1785">
        <v>200000</v>
      </c>
      <c r="F913" s="1785">
        <v>200000</v>
      </c>
      <c r="G913" s="1778">
        <f t="shared" si="146"/>
        <v>1</v>
      </c>
    </row>
    <row r="914" spans="1:7" ht="17.100000000000001" customHeight="1">
      <c r="A914" s="548"/>
      <c r="B914" s="746"/>
      <c r="C914" s="1786" t="s">
        <v>604</v>
      </c>
      <c r="D914" s="1787" t="s">
        <v>571</v>
      </c>
      <c r="E914" s="1785">
        <v>226540</v>
      </c>
      <c r="F914" s="1785">
        <v>220000</v>
      </c>
      <c r="G914" s="1778">
        <f t="shared" si="146"/>
        <v>0.97113092610576501</v>
      </c>
    </row>
    <row r="915" spans="1:7" ht="17.100000000000001" hidden="1" customHeight="1">
      <c r="A915" s="548"/>
      <c r="B915" s="746"/>
      <c r="C915" s="1786" t="s">
        <v>638</v>
      </c>
      <c r="D915" s="1776" t="s">
        <v>571</v>
      </c>
      <c r="E915" s="1788"/>
      <c r="F915" s="1788">
        <v>0</v>
      </c>
      <c r="G915" s="1774" t="e">
        <f t="shared" si="146"/>
        <v>#DIV/0!</v>
      </c>
    </row>
    <row r="916" spans="1:7" ht="17.100000000000001" hidden="1" customHeight="1">
      <c r="A916" s="548"/>
      <c r="B916" s="746"/>
      <c r="C916" s="1786" t="s">
        <v>623</v>
      </c>
      <c r="D916" s="1772" t="s">
        <v>571</v>
      </c>
      <c r="E916" s="1789"/>
      <c r="F916" s="1789">
        <v>0</v>
      </c>
      <c r="G916" s="1770" t="e">
        <f t="shared" si="146"/>
        <v>#DIV/0!</v>
      </c>
    </row>
    <row r="917" spans="1:7" ht="27" hidden="1" customHeight="1">
      <c r="A917" s="548"/>
      <c r="B917" s="746"/>
      <c r="C917" s="1786" t="s">
        <v>612</v>
      </c>
      <c r="D917" s="1768" t="s">
        <v>706</v>
      </c>
      <c r="E917" s="1789"/>
      <c r="F917" s="1789">
        <v>0</v>
      </c>
      <c r="G917" s="1770" t="e">
        <f t="shared" si="146"/>
        <v>#DIV/0!</v>
      </c>
    </row>
    <row r="918" spans="1:7" ht="17.100000000000001" customHeight="1">
      <c r="A918" s="548"/>
      <c r="B918" s="746"/>
      <c r="C918" s="1786"/>
      <c r="D918" s="1768"/>
      <c r="E918" s="1790"/>
      <c r="F918" s="1790"/>
      <c r="G918" s="1766"/>
    </row>
    <row r="919" spans="1:7" ht="17.100000000000001" customHeight="1">
      <c r="A919" s="548"/>
      <c r="B919" s="746"/>
      <c r="C919" s="2902" t="s">
        <v>534</v>
      </c>
      <c r="D919" s="2903"/>
      <c r="E919" s="1791">
        <f>SUM(E920:E923)</f>
        <v>226540</v>
      </c>
      <c r="F919" s="1791">
        <f t="shared" ref="F919" si="149">SUM(F920:F923)</f>
        <v>220000</v>
      </c>
      <c r="G919" s="1792">
        <f t="shared" si="146"/>
        <v>0.97113092610576501</v>
      </c>
    </row>
    <row r="920" spans="1:7" ht="17.100000000000001" customHeight="1" thickBot="1">
      <c r="A920" s="548"/>
      <c r="B920" s="746"/>
      <c r="C920" s="1793" t="s">
        <v>604</v>
      </c>
      <c r="D920" s="1794" t="s">
        <v>526</v>
      </c>
      <c r="E920" s="1795">
        <v>226540</v>
      </c>
      <c r="F920" s="1795">
        <v>220000</v>
      </c>
      <c r="G920" s="1796">
        <f t="shared" si="146"/>
        <v>0.97113092610576501</v>
      </c>
    </row>
    <row r="921" spans="1:7" ht="17.100000000000001" hidden="1" customHeight="1">
      <c r="A921" s="548"/>
      <c r="B921" s="746"/>
      <c r="C921" s="1786" t="s">
        <v>638</v>
      </c>
      <c r="D921" s="1768" t="s">
        <v>571</v>
      </c>
      <c r="E921" s="1790"/>
      <c r="F921" s="1790">
        <v>0</v>
      </c>
      <c r="G921" s="1766" t="e">
        <f t="shared" si="146"/>
        <v>#DIV/0!</v>
      </c>
    </row>
    <row r="922" spans="1:7" ht="17.100000000000001" hidden="1" customHeight="1">
      <c r="A922" s="548"/>
      <c r="B922" s="746"/>
      <c r="C922" s="1793" t="s">
        <v>623</v>
      </c>
      <c r="D922" s="1794" t="s">
        <v>571</v>
      </c>
      <c r="E922" s="1797"/>
      <c r="F922" s="1797">
        <v>0</v>
      </c>
      <c r="G922" s="1796" t="e">
        <f t="shared" si="146"/>
        <v>#DIV/0!</v>
      </c>
    </row>
    <row r="923" spans="1:7" ht="27.75" hidden="1" customHeight="1" thickBot="1">
      <c r="A923" s="548"/>
      <c r="B923" s="746"/>
      <c r="C923" s="1798" t="s">
        <v>612</v>
      </c>
      <c r="D923" s="1799" t="s">
        <v>706</v>
      </c>
      <c r="E923" s="598"/>
      <c r="F923" s="598">
        <v>0</v>
      </c>
      <c r="G923" s="1445" t="e">
        <f t="shared" si="146"/>
        <v>#DIV/0!</v>
      </c>
    </row>
    <row r="924" spans="1:7" ht="17.100000000000001" hidden="1" customHeight="1" thickBot="1">
      <c r="A924" s="548"/>
      <c r="B924" s="559" t="s">
        <v>707</v>
      </c>
      <c r="C924" s="560"/>
      <c r="D924" s="561" t="s">
        <v>324</v>
      </c>
      <c r="E924" s="599">
        <f>E925+E936</f>
        <v>343148</v>
      </c>
      <c r="F924" s="599">
        <f t="shared" ref="F924" si="150">F925+F936</f>
        <v>0</v>
      </c>
      <c r="G924" s="1800">
        <f t="shared" si="146"/>
        <v>0</v>
      </c>
    </row>
    <row r="925" spans="1:7" ht="17.100000000000001" hidden="1" customHeight="1">
      <c r="A925" s="548"/>
      <c r="B925" s="2771"/>
      <c r="C925" s="2853" t="s">
        <v>470</v>
      </c>
      <c r="D925" s="2853"/>
      <c r="E925" s="594">
        <f>E926</f>
        <v>239148</v>
      </c>
      <c r="F925" s="594">
        <f t="shared" ref="F925" si="151">F926</f>
        <v>0</v>
      </c>
      <c r="G925" s="1438">
        <f t="shared" si="146"/>
        <v>0</v>
      </c>
    </row>
    <row r="926" spans="1:7" ht="17.100000000000001" hidden="1" customHeight="1">
      <c r="A926" s="548"/>
      <c r="B926" s="2771"/>
      <c r="C926" s="2904" t="s">
        <v>471</v>
      </c>
      <c r="D926" s="2904"/>
      <c r="E926" s="1797">
        <f>E927+E930</f>
        <v>239148</v>
      </c>
      <c r="F926" s="1797">
        <f t="shared" ref="F926" si="152">F927+F930</f>
        <v>0</v>
      </c>
      <c r="G926" s="1796">
        <f t="shared" si="146"/>
        <v>0</v>
      </c>
    </row>
    <row r="927" spans="1:7" ht="17.100000000000001" hidden="1" customHeight="1">
      <c r="A927" s="548"/>
      <c r="B927" s="2771"/>
      <c r="C927" s="2900" t="s">
        <v>472</v>
      </c>
      <c r="D927" s="2900"/>
      <c r="E927" s="1797">
        <f>E928</f>
        <v>28040</v>
      </c>
      <c r="F927" s="1797">
        <f t="shared" ref="F927" si="153">F928</f>
        <v>0</v>
      </c>
      <c r="G927" s="1796">
        <f t="shared" si="146"/>
        <v>0</v>
      </c>
    </row>
    <row r="928" spans="1:7" ht="17.100000000000001" hidden="1" customHeight="1">
      <c r="A928" s="548"/>
      <c r="B928" s="2771"/>
      <c r="C928" s="1786" t="s">
        <v>481</v>
      </c>
      <c r="D928" s="1768" t="s">
        <v>482</v>
      </c>
      <c r="E928" s="1797">
        <v>28040</v>
      </c>
      <c r="F928" s="1797">
        <v>0</v>
      </c>
      <c r="G928" s="1796">
        <f t="shared" si="146"/>
        <v>0</v>
      </c>
    </row>
    <row r="929" spans="1:7" ht="17.100000000000001" hidden="1" customHeight="1">
      <c r="A929" s="548"/>
      <c r="B929" s="2771"/>
      <c r="C929" s="1801"/>
      <c r="D929" s="1801"/>
      <c r="E929" s="1802"/>
      <c r="F929" s="1802"/>
      <c r="G929" s="1803"/>
    </row>
    <row r="930" spans="1:7" ht="17.100000000000001" hidden="1" customHeight="1">
      <c r="A930" s="548"/>
      <c r="B930" s="2771"/>
      <c r="C930" s="2902" t="s">
        <v>483</v>
      </c>
      <c r="D930" s="2902"/>
      <c r="E930" s="1797">
        <f>SUM(E931:E934)</f>
        <v>211108</v>
      </c>
      <c r="F930" s="1797">
        <f>SUM(F931:F934)</f>
        <v>0</v>
      </c>
      <c r="G930" s="1796">
        <f t="shared" si="146"/>
        <v>0</v>
      </c>
    </row>
    <row r="931" spans="1:7" ht="17.100000000000001" hidden="1" customHeight="1">
      <c r="A931" s="548"/>
      <c r="B931" s="2771"/>
      <c r="C931" s="1786" t="s">
        <v>486</v>
      </c>
      <c r="D931" s="1768" t="s">
        <v>487</v>
      </c>
      <c r="E931" s="1797">
        <v>112008</v>
      </c>
      <c r="F931" s="1797">
        <v>0</v>
      </c>
      <c r="G931" s="1796">
        <f t="shared" si="146"/>
        <v>0</v>
      </c>
    </row>
    <row r="932" spans="1:7" ht="17.100000000000001" hidden="1" customHeight="1">
      <c r="A932" s="548"/>
      <c r="B932" s="2771"/>
      <c r="C932" s="1786" t="s">
        <v>496</v>
      </c>
      <c r="D932" s="1768" t="s">
        <v>497</v>
      </c>
      <c r="E932" s="1797">
        <v>93450</v>
      </c>
      <c r="F932" s="1797">
        <v>0</v>
      </c>
      <c r="G932" s="1796">
        <f t="shared" si="146"/>
        <v>0</v>
      </c>
    </row>
    <row r="933" spans="1:7" ht="17.100000000000001" hidden="1" customHeight="1">
      <c r="A933" s="548"/>
      <c r="B933" s="2771"/>
      <c r="C933" s="1793" t="s">
        <v>506</v>
      </c>
      <c r="D933" s="1794" t="s">
        <v>507</v>
      </c>
      <c r="E933" s="1797">
        <v>4150</v>
      </c>
      <c r="F933" s="1797">
        <v>0</v>
      </c>
      <c r="G933" s="1796">
        <f t="shared" si="146"/>
        <v>0</v>
      </c>
    </row>
    <row r="934" spans="1:7" ht="17.100000000000001" hidden="1" customHeight="1">
      <c r="A934" s="548"/>
      <c r="B934" s="2771"/>
      <c r="C934" s="1804" t="s">
        <v>708</v>
      </c>
      <c r="D934" s="1805" t="s">
        <v>709</v>
      </c>
      <c r="E934" s="1797">
        <v>1500</v>
      </c>
      <c r="F934" s="1797">
        <v>0</v>
      </c>
      <c r="G934" s="1796">
        <f t="shared" si="146"/>
        <v>0</v>
      </c>
    </row>
    <row r="935" spans="1:7" ht="17.100000000000001" hidden="1" customHeight="1">
      <c r="A935" s="548"/>
      <c r="B935" s="741"/>
      <c r="C935" s="748"/>
      <c r="D935" s="745"/>
      <c r="E935" s="1797"/>
      <c r="F935" s="1797"/>
      <c r="G935" s="1796"/>
    </row>
    <row r="936" spans="1:7" ht="17.100000000000001" hidden="1" customHeight="1">
      <c r="A936" s="548"/>
      <c r="B936" s="741"/>
      <c r="C936" s="2893" t="s">
        <v>523</v>
      </c>
      <c r="D936" s="2893"/>
      <c r="E936" s="1802">
        <f>E937</f>
        <v>104000</v>
      </c>
      <c r="F936" s="1802">
        <f t="shared" ref="F936:F937" si="154">F937</f>
        <v>0</v>
      </c>
      <c r="G936" s="1803">
        <f t="shared" si="146"/>
        <v>0</v>
      </c>
    </row>
    <row r="937" spans="1:7" ht="17.100000000000001" hidden="1" customHeight="1">
      <c r="A937" s="548"/>
      <c r="B937" s="741"/>
      <c r="C937" s="2896" t="s">
        <v>524</v>
      </c>
      <c r="D937" s="2897"/>
      <c r="E937" s="1806">
        <f>E938</f>
        <v>104000</v>
      </c>
      <c r="F937" s="1806">
        <f t="shared" si="154"/>
        <v>0</v>
      </c>
      <c r="G937" s="1807">
        <f t="shared" si="146"/>
        <v>0</v>
      </c>
    </row>
    <row r="938" spans="1:7" ht="17.100000000000001" hidden="1" customHeight="1" thickBot="1">
      <c r="A938" s="548"/>
      <c r="B938" s="741"/>
      <c r="C938" s="1808" t="s">
        <v>525</v>
      </c>
      <c r="D938" s="1809" t="s">
        <v>571</v>
      </c>
      <c r="E938" s="598">
        <v>104000</v>
      </c>
      <c r="F938" s="598">
        <v>0</v>
      </c>
      <c r="G938" s="1445">
        <f t="shared" si="146"/>
        <v>0</v>
      </c>
    </row>
    <row r="939" spans="1:7" ht="15" customHeight="1" thickBot="1">
      <c r="A939" s="548"/>
      <c r="B939" s="559" t="s">
        <v>710</v>
      </c>
      <c r="C939" s="560"/>
      <c r="D939" s="561" t="s">
        <v>327</v>
      </c>
      <c r="E939" s="600">
        <f>E940</f>
        <v>201000</v>
      </c>
      <c r="F939" s="600">
        <f t="shared" ref="F939" si="155">F940</f>
        <v>201000</v>
      </c>
      <c r="G939" s="1478">
        <f t="shared" si="146"/>
        <v>1</v>
      </c>
    </row>
    <row r="940" spans="1:7" ht="15.75" customHeight="1">
      <c r="A940" s="548"/>
      <c r="B940" s="2898"/>
      <c r="C940" s="2783" t="s">
        <v>470</v>
      </c>
      <c r="D940" s="2783"/>
      <c r="E940" s="601">
        <f>SUM(E941+E956)</f>
        <v>201000</v>
      </c>
      <c r="F940" s="601">
        <f>SUM(F941+F956)</f>
        <v>201000</v>
      </c>
      <c r="G940" s="1810">
        <f t="shared" si="146"/>
        <v>1</v>
      </c>
    </row>
    <row r="941" spans="1:7" ht="16.5" customHeight="1">
      <c r="A941" s="548"/>
      <c r="B941" s="2771"/>
      <c r="C941" s="2899" t="s">
        <v>471</v>
      </c>
      <c r="D941" s="2899"/>
      <c r="E941" s="1802">
        <f t="shared" ref="E941:F941" si="156">SUM(E942,E948)</f>
        <v>194000</v>
      </c>
      <c r="F941" s="1802">
        <f t="shared" si="156"/>
        <v>194000</v>
      </c>
      <c r="G941" s="1803">
        <f t="shared" si="146"/>
        <v>1</v>
      </c>
    </row>
    <row r="942" spans="1:7" ht="16.5" customHeight="1">
      <c r="A942" s="548"/>
      <c r="B942" s="2771"/>
      <c r="C942" s="2900" t="s">
        <v>472</v>
      </c>
      <c r="D942" s="2900"/>
      <c r="E942" s="1811">
        <f t="shared" ref="E942:F942" si="157">SUM(E943:E946)</f>
        <v>128000</v>
      </c>
      <c r="F942" s="1811">
        <f t="shared" si="157"/>
        <v>145000</v>
      </c>
      <c r="G942" s="1812">
        <f t="shared" si="146"/>
        <v>1.1328125</v>
      </c>
    </row>
    <row r="943" spans="1:7" ht="16.5" customHeight="1">
      <c r="A943" s="548"/>
      <c r="B943" s="2771"/>
      <c r="C943" s="1668" t="s">
        <v>473</v>
      </c>
      <c r="D943" s="1760" t="s">
        <v>474</v>
      </c>
      <c r="E943" s="1753">
        <v>104314</v>
      </c>
      <c r="F943" s="1753">
        <v>119525</v>
      </c>
      <c r="G943" s="1754">
        <f t="shared" si="146"/>
        <v>1.1458193531069656</v>
      </c>
    </row>
    <row r="944" spans="1:7" ht="18" customHeight="1">
      <c r="A944" s="548"/>
      <c r="B944" s="2771"/>
      <c r="C944" s="1813" t="s">
        <v>477</v>
      </c>
      <c r="D944" s="1752" t="s">
        <v>478</v>
      </c>
      <c r="E944" s="1745">
        <v>18130</v>
      </c>
      <c r="F944" s="1745">
        <v>20547</v>
      </c>
      <c r="G944" s="1746">
        <f t="shared" si="146"/>
        <v>1.1333149476006619</v>
      </c>
    </row>
    <row r="945" spans="1:7" ht="17.25" customHeight="1">
      <c r="A945" s="548"/>
      <c r="B945" s="2771"/>
      <c r="C945" s="1814" t="s">
        <v>479</v>
      </c>
      <c r="D945" s="1744" t="s">
        <v>480</v>
      </c>
      <c r="E945" s="1737">
        <v>2556</v>
      </c>
      <c r="F945" s="1737">
        <v>2928</v>
      </c>
      <c r="G945" s="1738">
        <f t="shared" si="146"/>
        <v>1.1455399061032865</v>
      </c>
    </row>
    <row r="946" spans="1:7" ht="17.25" customHeight="1">
      <c r="A946" s="548"/>
      <c r="B946" s="2771"/>
      <c r="C946" s="1815" t="s">
        <v>481</v>
      </c>
      <c r="D946" s="1736" t="s">
        <v>482</v>
      </c>
      <c r="E946" s="1729">
        <v>3000</v>
      </c>
      <c r="F946" s="1729">
        <v>2000</v>
      </c>
      <c r="G946" s="1730">
        <f t="shared" si="146"/>
        <v>0.66666666666666663</v>
      </c>
    </row>
    <row r="947" spans="1:7">
      <c r="A947" s="548"/>
      <c r="B947" s="2771"/>
      <c r="C947" s="1816"/>
      <c r="D947" s="1816"/>
      <c r="E947" s="1817"/>
      <c r="F947" s="1817"/>
      <c r="G947" s="1722"/>
    </row>
    <row r="948" spans="1:7" ht="16.5" customHeight="1">
      <c r="A948" s="548"/>
      <c r="B948" s="2771"/>
      <c r="C948" s="2901" t="s">
        <v>483</v>
      </c>
      <c r="D948" s="2901"/>
      <c r="E948" s="1818">
        <f>SUM(E949:E954)</f>
        <v>66000</v>
      </c>
      <c r="F948" s="1818">
        <f>SUM(F949:F954)</f>
        <v>49000</v>
      </c>
      <c r="G948" s="1819">
        <f t="shared" si="146"/>
        <v>0.74242424242424243</v>
      </c>
    </row>
    <row r="949" spans="1:7" ht="17.25" customHeight="1">
      <c r="A949" s="548"/>
      <c r="B949" s="2771"/>
      <c r="C949" s="1820" t="s">
        <v>486</v>
      </c>
      <c r="D949" s="1712" t="s">
        <v>487</v>
      </c>
      <c r="E949" s="1821">
        <v>47000</v>
      </c>
      <c r="F949" s="1821">
        <v>22000</v>
      </c>
      <c r="G949" s="1706">
        <f t="shared" si="146"/>
        <v>0.46808510638297873</v>
      </c>
    </row>
    <row r="950" spans="1:7" ht="17.25" customHeight="1">
      <c r="A950" s="548"/>
      <c r="B950" s="2771"/>
      <c r="C950" s="1822" t="s">
        <v>488</v>
      </c>
      <c r="D950" s="1704" t="s">
        <v>489</v>
      </c>
      <c r="E950" s="1823">
        <v>1000</v>
      </c>
      <c r="F950" s="1823">
        <v>1000</v>
      </c>
      <c r="G950" s="1698">
        <f t="shared" si="146"/>
        <v>1</v>
      </c>
    </row>
    <row r="951" spans="1:7" ht="16.5" customHeight="1">
      <c r="A951" s="548"/>
      <c r="B951" s="2771"/>
      <c r="C951" s="1824" t="s">
        <v>496</v>
      </c>
      <c r="D951" s="1696" t="s">
        <v>497</v>
      </c>
      <c r="E951" s="1651">
        <v>12000</v>
      </c>
      <c r="F951" s="1651">
        <v>20000</v>
      </c>
      <c r="G951" s="1437">
        <f t="shared" si="146"/>
        <v>1.6666666666666667</v>
      </c>
    </row>
    <row r="952" spans="1:7" ht="16.5" customHeight="1">
      <c r="A952" s="548"/>
      <c r="B952" s="2771"/>
      <c r="C952" s="1825" t="s">
        <v>500</v>
      </c>
      <c r="D952" s="1826" t="s">
        <v>501</v>
      </c>
      <c r="E952" s="1651">
        <v>2000</v>
      </c>
      <c r="F952" s="1651">
        <v>2000</v>
      </c>
      <c r="G952" s="1827">
        <f t="shared" si="146"/>
        <v>1</v>
      </c>
    </row>
    <row r="953" spans="1:7" ht="16.5" customHeight="1">
      <c r="A953" s="548"/>
      <c r="B953" s="2771"/>
      <c r="C953" s="1825" t="s">
        <v>504</v>
      </c>
      <c r="D953" s="1826" t="s">
        <v>505</v>
      </c>
      <c r="E953" s="1651">
        <v>2000</v>
      </c>
      <c r="F953" s="1651">
        <v>2000</v>
      </c>
      <c r="G953" s="1827">
        <f t="shared" si="146"/>
        <v>1</v>
      </c>
    </row>
    <row r="954" spans="1:7" ht="18.75" customHeight="1">
      <c r="A954" s="548"/>
      <c r="B954" s="2771"/>
      <c r="C954" s="1828" t="s">
        <v>518</v>
      </c>
      <c r="D954" s="1829" t="s">
        <v>705</v>
      </c>
      <c r="E954" s="1817">
        <v>2000</v>
      </c>
      <c r="F954" s="1817">
        <v>2000</v>
      </c>
      <c r="G954" s="1722">
        <f t="shared" si="146"/>
        <v>1</v>
      </c>
    </row>
    <row r="955" spans="1:7" ht="12.75" customHeight="1">
      <c r="A955" s="548"/>
      <c r="B955" s="741"/>
      <c r="C955" s="748"/>
      <c r="D955" s="745"/>
      <c r="E955" s="1817"/>
      <c r="F955" s="1817"/>
      <c r="G955" s="1722"/>
    </row>
    <row r="956" spans="1:7" ht="14.25" customHeight="1">
      <c r="A956" s="548"/>
      <c r="B956" s="741"/>
      <c r="C956" s="2917" t="s">
        <v>711</v>
      </c>
      <c r="D956" s="2918"/>
      <c r="E956" s="602">
        <f>E957</f>
        <v>7000</v>
      </c>
      <c r="F956" s="602">
        <f>F957</f>
        <v>7000</v>
      </c>
      <c r="G956" s="1722">
        <f t="shared" si="146"/>
        <v>1</v>
      </c>
    </row>
    <row r="957" spans="1:7" ht="18.75" customHeight="1" thickBot="1">
      <c r="A957" s="548"/>
      <c r="B957" s="741"/>
      <c r="C957" s="1828" t="s">
        <v>682</v>
      </c>
      <c r="D957" s="1830" t="s">
        <v>690</v>
      </c>
      <c r="E957" s="602">
        <v>7000</v>
      </c>
      <c r="F957" s="602">
        <v>7000</v>
      </c>
      <c r="G957" s="1722">
        <f t="shared" si="146"/>
        <v>1</v>
      </c>
    </row>
    <row r="958" spans="1:7" ht="17.100000000000001" customHeight="1" thickBot="1">
      <c r="A958" s="2888"/>
      <c r="B958" s="603" t="s">
        <v>712</v>
      </c>
      <c r="C958" s="604"/>
      <c r="D958" s="605" t="s">
        <v>239</v>
      </c>
      <c r="E958" s="562">
        <f>E959+E1041</f>
        <v>19026861</v>
      </c>
      <c r="F958" s="562">
        <f>F959+F1041</f>
        <v>15136082</v>
      </c>
      <c r="G958" s="1478">
        <f t="shared" si="146"/>
        <v>0.7955112511727499</v>
      </c>
    </row>
    <row r="959" spans="1:7" ht="17.100000000000001" customHeight="1">
      <c r="A959" s="2888"/>
      <c r="B959" s="2919"/>
      <c r="C959" s="2853" t="s">
        <v>470</v>
      </c>
      <c r="D959" s="2853"/>
      <c r="E959" s="549">
        <f>E960+E975+E982+E979</f>
        <v>16704772</v>
      </c>
      <c r="F959" s="549">
        <f>F960+F975+F982+F979</f>
        <v>13440311</v>
      </c>
      <c r="G959" s="1424">
        <f t="shared" si="146"/>
        <v>0.80457913463290609</v>
      </c>
    </row>
    <row r="960" spans="1:7" ht="17.100000000000001" customHeight="1">
      <c r="A960" s="548"/>
      <c r="B960" s="2788"/>
      <c r="C960" s="2920" t="s">
        <v>471</v>
      </c>
      <c r="D960" s="2920"/>
      <c r="E960" s="1436">
        <f>E961+E964</f>
        <v>9430390</v>
      </c>
      <c r="F960" s="1436">
        <f>F961+F964</f>
        <v>8847491</v>
      </c>
      <c r="G960" s="1437">
        <f t="shared" si="146"/>
        <v>0.93818930076062601</v>
      </c>
    </row>
    <row r="961" spans="1:7" ht="17.100000000000001" customHeight="1">
      <c r="A961" s="548"/>
      <c r="B961" s="2788"/>
      <c r="C961" s="2921" t="s">
        <v>472</v>
      </c>
      <c r="D961" s="2921"/>
      <c r="E961" s="1461">
        <f>SUM(E962:E962)</f>
        <v>177659</v>
      </c>
      <c r="F961" s="1461">
        <f>SUM(F962:F962)</f>
        <v>80000</v>
      </c>
      <c r="G961" s="1462">
        <f t="shared" si="146"/>
        <v>0.45030085726025704</v>
      </c>
    </row>
    <row r="962" spans="1:7" ht="17.100000000000001" customHeight="1">
      <c r="A962" s="548"/>
      <c r="B962" s="2788"/>
      <c r="C962" s="1824" t="s">
        <v>481</v>
      </c>
      <c r="D962" s="1696" t="s">
        <v>482</v>
      </c>
      <c r="E962" s="1436">
        <f>177159+500</f>
        <v>177659</v>
      </c>
      <c r="F962" s="1436">
        <v>80000</v>
      </c>
      <c r="G962" s="1437">
        <f t="shared" si="146"/>
        <v>0.45030085726025704</v>
      </c>
    </row>
    <row r="963" spans="1:7" ht="17.100000000000001" customHeight="1">
      <c r="A963" s="548"/>
      <c r="B963" s="2788"/>
      <c r="C963" s="553"/>
      <c r="D963" s="553"/>
      <c r="E963" s="550"/>
      <c r="F963" s="550"/>
      <c r="G963" s="1433"/>
    </row>
    <row r="964" spans="1:7" ht="17.100000000000001" customHeight="1">
      <c r="A964" s="548"/>
      <c r="B964" s="2788"/>
      <c r="C964" s="2922" t="s">
        <v>483</v>
      </c>
      <c r="D964" s="2922"/>
      <c r="E964" s="1461">
        <f>SUM(E965:E977)</f>
        <v>9252731</v>
      </c>
      <c r="F964" s="1461">
        <f t="shared" ref="F964" si="158">SUM(F965:F977)</f>
        <v>8767491</v>
      </c>
      <c r="G964" s="1462">
        <f t="shared" si="146"/>
        <v>0.94755710503201707</v>
      </c>
    </row>
    <row r="965" spans="1:7" ht="17.100000000000001" customHeight="1">
      <c r="A965" s="548"/>
      <c r="B965" s="2788"/>
      <c r="C965" s="1824" t="s">
        <v>486</v>
      </c>
      <c r="D965" s="1696" t="s">
        <v>487</v>
      </c>
      <c r="E965" s="1436">
        <v>8000</v>
      </c>
      <c r="F965" s="1436">
        <f>8000+110000</f>
        <v>118000</v>
      </c>
      <c r="G965" s="1437">
        <f t="shared" si="146"/>
        <v>14.75</v>
      </c>
    </row>
    <row r="966" spans="1:7" ht="17.100000000000001" customHeight="1">
      <c r="A966" s="548"/>
      <c r="B966" s="2788"/>
      <c r="C966" s="1824" t="s">
        <v>496</v>
      </c>
      <c r="D966" s="1696" t="s">
        <v>497</v>
      </c>
      <c r="E966" s="1436">
        <f>16000+1000+3421873+5192600</f>
        <v>8631473</v>
      </c>
      <c r="F966" s="1436">
        <f>16000+1000+2781000+5063000</f>
        <v>7861000</v>
      </c>
      <c r="G966" s="1437">
        <f t="shared" ref="G966:G1032" si="159">F966/E966</f>
        <v>0.91073678849484907</v>
      </c>
    </row>
    <row r="967" spans="1:7" ht="17.100000000000001" customHeight="1">
      <c r="A967" s="548"/>
      <c r="B967" s="2788"/>
      <c r="C967" s="1824" t="s">
        <v>686</v>
      </c>
      <c r="D967" s="1696" t="s">
        <v>649</v>
      </c>
      <c r="E967" s="1436">
        <f>3640+9000</f>
        <v>12640</v>
      </c>
      <c r="F967" s="1436">
        <f>3640+15000+8000</f>
        <v>26640</v>
      </c>
      <c r="G967" s="1437">
        <f t="shared" si="159"/>
        <v>2.1075949367088609</v>
      </c>
    </row>
    <row r="968" spans="1:7" ht="17.100000000000001" customHeight="1">
      <c r="A968" s="548"/>
      <c r="B968" s="2788"/>
      <c r="C968" s="1824" t="s">
        <v>500</v>
      </c>
      <c r="D968" s="1696" t="s">
        <v>501</v>
      </c>
      <c r="E968" s="1436">
        <f>500+15300+200500+50000</f>
        <v>266300</v>
      </c>
      <c r="F968" s="1436">
        <f>500+15000+350000+23000</f>
        <v>388500</v>
      </c>
      <c r="G968" s="1437">
        <f t="shared" si="159"/>
        <v>1.4588809613218174</v>
      </c>
    </row>
    <row r="969" spans="1:7" ht="17.100000000000001" customHeight="1">
      <c r="A969" s="548"/>
      <c r="B969" s="2788"/>
      <c r="C969" s="1824" t="s">
        <v>504</v>
      </c>
      <c r="D969" s="1696" t="s">
        <v>505</v>
      </c>
      <c r="E969" s="1436">
        <v>1000</v>
      </c>
      <c r="F969" s="1436">
        <v>2000</v>
      </c>
      <c r="G969" s="1437">
        <f t="shared" si="159"/>
        <v>2</v>
      </c>
    </row>
    <row r="970" spans="1:7" ht="17.100000000000001" customHeight="1">
      <c r="A970" s="548"/>
      <c r="B970" s="2788"/>
      <c r="C970" s="1824" t="s">
        <v>630</v>
      </c>
      <c r="D970" s="1696" t="s">
        <v>631</v>
      </c>
      <c r="E970" s="1436">
        <f>1341+7000</f>
        <v>8341</v>
      </c>
      <c r="F970" s="1436">
        <f>7000+8000</f>
        <v>15000</v>
      </c>
      <c r="G970" s="1437">
        <f t="shared" si="159"/>
        <v>1.7983455221196498</v>
      </c>
    </row>
    <row r="971" spans="1:7" ht="17.100000000000001" customHeight="1">
      <c r="A971" s="548"/>
      <c r="B971" s="2788"/>
      <c r="C971" s="1824" t="s">
        <v>506</v>
      </c>
      <c r="D971" s="1696" t="s">
        <v>507</v>
      </c>
      <c r="E971" s="1436">
        <f>117095+131130</f>
        <v>248225</v>
      </c>
      <c r="F971" s="1436">
        <f>119444+175000</f>
        <v>294444</v>
      </c>
      <c r="G971" s="1437">
        <f t="shared" si="159"/>
        <v>1.1861980058414745</v>
      </c>
    </row>
    <row r="972" spans="1:7" ht="17.100000000000001" customHeight="1">
      <c r="A972" s="548"/>
      <c r="B972" s="2788"/>
      <c r="C972" s="1824" t="s">
        <v>713</v>
      </c>
      <c r="D972" s="1696" t="s">
        <v>714</v>
      </c>
      <c r="E972" s="1436">
        <v>45000</v>
      </c>
      <c r="F972" s="1436">
        <v>45000</v>
      </c>
      <c r="G972" s="1437">
        <f t="shared" si="159"/>
        <v>1</v>
      </c>
    </row>
    <row r="973" spans="1:7" ht="15.75" customHeight="1">
      <c r="A973" s="548"/>
      <c r="B973" s="2788"/>
      <c r="C973" s="1824" t="s">
        <v>580</v>
      </c>
      <c r="D973" s="1696" t="s">
        <v>581</v>
      </c>
      <c r="E973" s="1436">
        <f>6752+25000</f>
        <v>31752</v>
      </c>
      <c r="F973" s="1436">
        <f>6907+10000</f>
        <v>16907</v>
      </c>
      <c r="G973" s="1437">
        <f t="shared" si="159"/>
        <v>0.53247039556563369</v>
      </c>
    </row>
    <row r="974" spans="1:7" hidden="1">
      <c r="A974" s="548"/>
      <c r="B974" s="2788"/>
      <c r="C974" s="553"/>
      <c r="D974" s="553"/>
      <c r="E974" s="1436"/>
      <c r="F974" s="1436"/>
      <c r="G974" s="1437" t="e">
        <f t="shared" si="159"/>
        <v>#DIV/0!</v>
      </c>
    </row>
    <row r="975" spans="1:7" hidden="1">
      <c r="A975" s="548"/>
      <c r="B975" s="2788"/>
      <c r="C975" s="2923" t="s">
        <v>567</v>
      </c>
      <c r="D975" s="2923"/>
      <c r="E975" s="1436"/>
      <c r="F975" s="1436"/>
      <c r="G975" s="1437" t="e">
        <f t="shared" si="159"/>
        <v>#DIV/0!</v>
      </c>
    </row>
    <row r="976" spans="1:7" ht="38.25" hidden="1">
      <c r="A976" s="548"/>
      <c r="B976" s="2788"/>
      <c r="C976" s="1825" t="s">
        <v>621</v>
      </c>
      <c r="D976" s="1826" t="s">
        <v>715</v>
      </c>
      <c r="E976" s="1436"/>
      <c r="F976" s="1436"/>
      <c r="G976" s="1437" t="e">
        <f t="shared" si="159"/>
        <v>#DIV/0!</v>
      </c>
    </row>
    <row r="977" spans="1:7" ht="15" hidden="1" customHeight="1">
      <c r="A977" s="548"/>
      <c r="B977" s="2788"/>
      <c r="C977" s="1824" t="s">
        <v>518</v>
      </c>
      <c r="D977" s="1831" t="s">
        <v>705</v>
      </c>
      <c r="E977" s="1436"/>
      <c r="F977" s="1436"/>
      <c r="G977" s="1437" t="e">
        <f t="shared" si="159"/>
        <v>#DIV/0!</v>
      </c>
    </row>
    <row r="978" spans="1:7" ht="17.100000000000001" customHeight="1">
      <c r="A978" s="548"/>
      <c r="B978" s="2788"/>
      <c r="C978" s="1832"/>
      <c r="D978" s="1832"/>
      <c r="E978" s="1833"/>
      <c r="F978" s="1833"/>
      <c r="G978" s="1834"/>
    </row>
    <row r="979" spans="1:7" ht="17.100000000000001" customHeight="1">
      <c r="A979" s="548"/>
      <c r="B979" s="2788"/>
      <c r="C979" s="2923" t="s">
        <v>711</v>
      </c>
      <c r="D979" s="2923"/>
      <c r="E979" s="1835">
        <f t="shared" ref="E979:F979" si="160">E980</f>
        <v>4500</v>
      </c>
      <c r="F979" s="1835">
        <f t="shared" si="160"/>
        <v>5153</v>
      </c>
      <c r="G979" s="1836">
        <f t="shared" si="159"/>
        <v>1.1451111111111112</v>
      </c>
    </row>
    <row r="980" spans="1:7" ht="17.100000000000001" customHeight="1">
      <c r="A980" s="548"/>
      <c r="B980" s="2788"/>
      <c r="C980" s="1824" t="s">
        <v>682</v>
      </c>
      <c r="D980" s="1696" t="s">
        <v>690</v>
      </c>
      <c r="E980" s="1835">
        <v>4500</v>
      </c>
      <c r="F980" s="1835">
        <v>5153</v>
      </c>
      <c r="G980" s="1836">
        <f t="shared" si="159"/>
        <v>1.1451111111111112</v>
      </c>
    </row>
    <row r="981" spans="1:7" ht="17.100000000000001" customHeight="1">
      <c r="A981" s="548"/>
      <c r="B981" s="2788"/>
      <c r="C981" s="2924"/>
      <c r="D981" s="2925"/>
      <c r="E981" s="1833"/>
      <c r="F981" s="1833"/>
      <c r="G981" s="1834"/>
    </row>
    <row r="982" spans="1:7" ht="17.100000000000001" customHeight="1">
      <c r="A982" s="548"/>
      <c r="B982" s="2788"/>
      <c r="C982" s="2905" t="s">
        <v>536</v>
      </c>
      <c r="D982" s="2906"/>
      <c r="E982" s="564">
        <f>SUM(E983:E1039)</f>
        <v>7269882</v>
      </c>
      <c r="F982" s="564">
        <f>SUM(F983:F1039)</f>
        <v>4587667</v>
      </c>
      <c r="G982" s="1497">
        <f t="shared" si="159"/>
        <v>0.63105109546482319</v>
      </c>
    </row>
    <row r="983" spans="1:7" ht="50.25" customHeight="1">
      <c r="A983" s="548"/>
      <c r="B983" s="2788"/>
      <c r="C983" s="1837" t="s">
        <v>427</v>
      </c>
      <c r="D983" s="1625" t="s">
        <v>538</v>
      </c>
      <c r="E983" s="564">
        <v>254341</v>
      </c>
      <c r="F983" s="564">
        <v>255726</v>
      </c>
      <c r="G983" s="1497">
        <f t="shared" si="159"/>
        <v>1.0054454452880188</v>
      </c>
    </row>
    <row r="984" spans="1:7" ht="57" hidden="1" customHeight="1">
      <c r="A984" s="548"/>
      <c r="B984" s="2788"/>
      <c r="C984" s="1838" t="s">
        <v>537</v>
      </c>
      <c r="D984" s="1625" t="s">
        <v>538</v>
      </c>
      <c r="E984" s="564"/>
      <c r="F984" s="564">
        <v>0</v>
      </c>
      <c r="G984" s="1497" t="e">
        <f t="shared" si="159"/>
        <v>#DIV/0!</v>
      </c>
    </row>
    <row r="985" spans="1:7" ht="57" customHeight="1">
      <c r="A985" s="548"/>
      <c r="B985" s="2788"/>
      <c r="C985" s="1838" t="s">
        <v>420</v>
      </c>
      <c r="D985" s="1625" t="s">
        <v>538</v>
      </c>
      <c r="E985" s="564">
        <v>15403</v>
      </c>
      <c r="F985" s="564">
        <v>15216</v>
      </c>
      <c r="G985" s="1497">
        <f t="shared" si="159"/>
        <v>0.98785950788807375</v>
      </c>
    </row>
    <row r="986" spans="1:7" ht="52.5" customHeight="1">
      <c r="A986" s="548"/>
      <c r="B986" s="2788"/>
      <c r="C986" s="1838" t="s">
        <v>381</v>
      </c>
      <c r="D986" s="1625" t="s">
        <v>783</v>
      </c>
      <c r="E986" s="564">
        <v>2320815</v>
      </c>
      <c r="F986" s="564">
        <v>1054735</v>
      </c>
      <c r="G986" s="1497">
        <f t="shared" si="159"/>
        <v>0.45446750387256202</v>
      </c>
    </row>
    <row r="987" spans="1:7" ht="52.5" customHeight="1">
      <c r="A987" s="548"/>
      <c r="B987" s="2788"/>
      <c r="C987" s="1838" t="s">
        <v>303</v>
      </c>
      <c r="D987" s="1625" t="s">
        <v>783</v>
      </c>
      <c r="E987" s="564">
        <v>140543</v>
      </c>
      <c r="F987" s="564">
        <v>63873</v>
      </c>
      <c r="G987" s="1497">
        <f t="shared" si="159"/>
        <v>0.45447300826081699</v>
      </c>
    </row>
    <row r="988" spans="1:7" ht="15.75" hidden="1" customHeight="1">
      <c r="A988" s="548"/>
      <c r="B988" s="2788"/>
      <c r="C988" s="1837" t="s">
        <v>716</v>
      </c>
      <c r="D988" s="1625" t="s">
        <v>594</v>
      </c>
      <c r="E988" s="564"/>
      <c r="F988" s="564">
        <v>0</v>
      </c>
      <c r="G988" s="1497" t="e">
        <f t="shared" si="159"/>
        <v>#DIV/0!</v>
      </c>
    </row>
    <row r="989" spans="1:7" ht="15.75" customHeight="1">
      <c r="A989" s="548"/>
      <c r="B989" s="2788"/>
      <c r="C989" s="1668" t="s">
        <v>596</v>
      </c>
      <c r="D989" s="1696" t="s">
        <v>474</v>
      </c>
      <c r="E989" s="564">
        <v>28418</v>
      </c>
      <c r="F989" s="564">
        <v>89717</v>
      </c>
      <c r="G989" s="1497">
        <f t="shared" si="159"/>
        <v>3.1570483496375537</v>
      </c>
    </row>
    <row r="990" spans="1:7" ht="17.100000000000001" customHeight="1">
      <c r="A990" s="548"/>
      <c r="B990" s="2788"/>
      <c r="C990" s="1668" t="s">
        <v>540</v>
      </c>
      <c r="D990" s="1696" t="s">
        <v>474</v>
      </c>
      <c r="E990" s="564">
        <f>245948+1002404+46107</f>
        <v>1294459</v>
      </c>
      <c r="F990" s="564">
        <f>253326+910006+76326</f>
        <v>1239658</v>
      </c>
      <c r="G990" s="1497">
        <f t="shared" si="159"/>
        <v>0.9576649395616238</v>
      </c>
    </row>
    <row r="991" spans="1:7" ht="17.100000000000001" customHeight="1">
      <c r="A991" s="548"/>
      <c r="B991" s="2788"/>
      <c r="C991" s="1824" t="s">
        <v>541</v>
      </c>
      <c r="D991" s="1696" t="s">
        <v>474</v>
      </c>
      <c r="E991" s="564">
        <f>176895+1720+8136</f>
        <v>186751</v>
      </c>
      <c r="F991" s="564">
        <f>160589+14896+17412</f>
        <v>192897</v>
      </c>
      <c r="G991" s="1497">
        <f t="shared" si="159"/>
        <v>1.032910131672655</v>
      </c>
    </row>
    <row r="992" spans="1:7" ht="17.100000000000001" customHeight="1">
      <c r="A992" s="548"/>
      <c r="B992" s="2788"/>
      <c r="C992" s="1824" t="s">
        <v>542</v>
      </c>
      <c r="D992" s="1696" t="s">
        <v>476</v>
      </c>
      <c r="E992" s="564">
        <f>18740+64927</f>
        <v>83667</v>
      </c>
      <c r="F992" s="564">
        <f>21630+66628</f>
        <v>88258</v>
      </c>
      <c r="G992" s="1497">
        <f t="shared" si="159"/>
        <v>1.0548722913454529</v>
      </c>
    </row>
    <row r="993" spans="1:7" ht="17.100000000000001" customHeight="1">
      <c r="A993" s="548"/>
      <c r="B993" s="2788"/>
      <c r="C993" s="1824" t="s">
        <v>543</v>
      </c>
      <c r="D993" s="1696" t="s">
        <v>476</v>
      </c>
      <c r="E993" s="564">
        <v>11458</v>
      </c>
      <c r="F993" s="564">
        <v>11757</v>
      </c>
      <c r="G993" s="1497">
        <f t="shared" si="159"/>
        <v>1.0260953045906791</v>
      </c>
    </row>
    <row r="994" spans="1:7" ht="17.100000000000001" customHeight="1">
      <c r="A994" s="548"/>
      <c r="B994" s="2788"/>
      <c r="C994" s="1824" t="s">
        <v>598</v>
      </c>
      <c r="D994" s="1696" t="s">
        <v>478</v>
      </c>
      <c r="E994" s="564">
        <v>4938</v>
      </c>
      <c r="F994" s="564">
        <v>15450</v>
      </c>
      <c r="G994" s="1497">
        <f t="shared" si="159"/>
        <v>3.1287970838396113</v>
      </c>
    </row>
    <row r="995" spans="1:7" ht="17.100000000000001" customHeight="1">
      <c r="A995" s="548"/>
      <c r="B995" s="2788"/>
      <c r="C995" s="1824" t="s">
        <v>544</v>
      </c>
      <c r="D995" s="1696" t="s">
        <v>478</v>
      </c>
      <c r="E995" s="564">
        <f>45587+191693+8011</f>
        <v>245291</v>
      </c>
      <c r="F995" s="564">
        <f>46955+173910+13429</f>
        <v>234294</v>
      </c>
      <c r="G995" s="1497">
        <f t="shared" si="159"/>
        <v>0.95516753570249213</v>
      </c>
    </row>
    <row r="996" spans="1:7" ht="17.100000000000001" customHeight="1">
      <c r="A996" s="548"/>
      <c r="B996" s="2788"/>
      <c r="C996" s="1824" t="s">
        <v>545</v>
      </c>
      <c r="D996" s="1696" t="s">
        <v>478</v>
      </c>
      <c r="E996" s="564">
        <f>33828+300+1414</f>
        <v>35542</v>
      </c>
      <c r="F996" s="564">
        <f>30690+2566+3079</f>
        <v>36335</v>
      </c>
      <c r="G996" s="1497">
        <f t="shared" si="159"/>
        <v>1.0223116313094367</v>
      </c>
    </row>
    <row r="997" spans="1:7" ht="26.25" customHeight="1">
      <c r="A997" s="548"/>
      <c r="B997" s="2788"/>
      <c r="C997" s="1824" t="s">
        <v>599</v>
      </c>
      <c r="D997" s="1696" t="s">
        <v>1028</v>
      </c>
      <c r="E997" s="564">
        <v>698</v>
      </c>
      <c r="F997" s="564">
        <v>2151</v>
      </c>
      <c r="G997" s="1497">
        <f t="shared" si="159"/>
        <v>3.0816618911174785</v>
      </c>
    </row>
    <row r="998" spans="1:7" ht="26.25" customHeight="1">
      <c r="A998" s="548"/>
      <c r="B998" s="2788"/>
      <c r="C998" s="1824" t="s">
        <v>546</v>
      </c>
      <c r="D998" s="1696" t="s">
        <v>1028</v>
      </c>
      <c r="E998" s="564">
        <f>4577+54742+1132</f>
        <v>60451</v>
      </c>
      <c r="F998" s="564">
        <f>4714+52207+1872</f>
        <v>58793</v>
      </c>
      <c r="G998" s="1497">
        <f t="shared" si="159"/>
        <v>0.97257282757936181</v>
      </c>
    </row>
    <row r="999" spans="1:7" ht="25.5" customHeight="1">
      <c r="A999" s="548"/>
      <c r="B999" s="2788"/>
      <c r="C999" s="1824" t="s">
        <v>547</v>
      </c>
      <c r="D999" s="1696" t="s">
        <v>1028</v>
      </c>
      <c r="E999" s="564">
        <f>9660+42+200</f>
        <v>9902</v>
      </c>
      <c r="F999" s="564">
        <f>9213+356+428</f>
        <v>9997</v>
      </c>
      <c r="G999" s="1497">
        <f t="shared" si="159"/>
        <v>1.0095940214098162</v>
      </c>
    </row>
    <row r="1000" spans="1:7" ht="17.100000000000001" customHeight="1">
      <c r="A1000" s="548"/>
      <c r="B1000" s="2788"/>
      <c r="C1000" s="1824" t="s">
        <v>673</v>
      </c>
      <c r="D1000" s="1696" t="s">
        <v>482</v>
      </c>
      <c r="E1000" s="564">
        <v>14271</v>
      </c>
      <c r="F1000" s="564">
        <v>3568</v>
      </c>
      <c r="G1000" s="1497">
        <f t="shared" si="159"/>
        <v>0.25001751804358491</v>
      </c>
    </row>
    <row r="1001" spans="1:7" ht="17.100000000000001" customHeight="1">
      <c r="A1001" s="548"/>
      <c r="B1001" s="2788"/>
      <c r="C1001" s="1824" t="s">
        <v>548</v>
      </c>
      <c r="D1001" s="1696" t="s">
        <v>482</v>
      </c>
      <c r="E1001" s="564">
        <v>2000</v>
      </c>
      <c r="F1001" s="564">
        <f>2060+4590</f>
        <v>6650</v>
      </c>
      <c r="G1001" s="1497">
        <f t="shared" si="159"/>
        <v>3.3250000000000002</v>
      </c>
    </row>
    <row r="1002" spans="1:7" ht="17.100000000000001" customHeight="1">
      <c r="A1002" s="548"/>
      <c r="B1002" s="2788"/>
      <c r="C1002" s="1824" t="s">
        <v>549</v>
      </c>
      <c r="D1002" s="1696" t="s">
        <v>482</v>
      </c>
      <c r="E1002" s="564">
        <v>864</v>
      </c>
      <c r="F1002" s="564">
        <f>216+1410</f>
        <v>1626</v>
      </c>
      <c r="G1002" s="1497">
        <f t="shared" si="159"/>
        <v>1.8819444444444444</v>
      </c>
    </row>
    <row r="1003" spans="1:7" ht="17.100000000000001" hidden="1" customHeight="1">
      <c r="A1003" s="548"/>
      <c r="B1003" s="2788"/>
      <c r="C1003" s="1824" t="s">
        <v>486</v>
      </c>
      <c r="D1003" s="1696" t="s">
        <v>487</v>
      </c>
      <c r="E1003" s="564">
        <v>1300</v>
      </c>
      <c r="F1003" s="564">
        <v>0</v>
      </c>
      <c r="G1003" s="1497">
        <f t="shared" si="159"/>
        <v>0</v>
      </c>
    </row>
    <row r="1004" spans="1:7" ht="17.100000000000001" customHeight="1">
      <c r="A1004" s="548"/>
      <c r="B1004" s="2788"/>
      <c r="C1004" s="1824" t="s">
        <v>600</v>
      </c>
      <c r="D1004" s="1696" t="s">
        <v>487</v>
      </c>
      <c r="E1004" s="564">
        <v>41048</v>
      </c>
      <c r="F1004" s="564">
        <v>3433</v>
      </c>
      <c r="G1004" s="1497">
        <f t="shared" si="159"/>
        <v>8.3633794581952831E-2</v>
      </c>
    </row>
    <row r="1005" spans="1:7" ht="17.100000000000001" customHeight="1">
      <c r="A1005" s="548"/>
      <c r="B1005" s="2788"/>
      <c r="C1005" s="1824" t="s">
        <v>553</v>
      </c>
      <c r="D1005" s="1696" t="s">
        <v>487</v>
      </c>
      <c r="E1005" s="564">
        <f>100000+150293+33173</f>
        <v>283466</v>
      </c>
      <c r="F1005" s="564">
        <f>52099+2847+52700</f>
        <v>107646</v>
      </c>
      <c r="G1005" s="1497">
        <f t="shared" si="159"/>
        <v>0.37974924682325217</v>
      </c>
    </row>
    <row r="1006" spans="1:7" ht="17.100000000000001" customHeight="1">
      <c r="A1006" s="548"/>
      <c r="B1006" s="2788"/>
      <c r="C1006" s="1824" t="s">
        <v>554</v>
      </c>
      <c r="D1006" s="1696" t="s">
        <v>487</v>
      </c>
      <c r="E1006" s="564">
        <f>26522+2486+5854</f>
        <v>34862</v>
      </c>
      <c r="F1006" s="564">
        <f>503+208+9300</f>
        <v>10011</v>
      </c>
      <c r="G1006" s="1497">
        <f t="shared" si="159"/>
        <v>0.28716080546153405</v>
      </c>
    </row>
    <row r="1007" spans="1:7" ht="17.100000000000001" customHeight="1">
      <c r="A1007" s="548"/>
      <c r="B1007" s="2788"/>
      <c r="C1007" s="1824" t="s">
        <v>717</v>
      </c>
      <c r="D1007" s="1696" t="s">
        <v>489</v>
      </c>
      <c r="E1007" s="564">
        <v>4000</v>
      </c>
      <c r="F1007" s="564">
        <v>3000</v>
      </c>
      <c r="G1007" s="1497">
        <f t="shared" si="159"/>
        <v>0.75</v>
      </c>
    </row>
    <row r="1008" spans="1:7" ht="17.100000000000001" hidden="1" customHeight="1">
      <c r="A1008" s="548"/>
      <c r="B1008" s="2788"/>
      <c r="C1008" s="1824" t="s">
        <v>718</v>
      </c>
      <c r="D1008" s="1696" t="s">
        <v>489</v>
      </c>
      <c r="E1008" s="564"/>
      <c r="F1008" s="564">
        <v>0</v>
      </c>
      <c r="G1008" s="1497" t="e">
        <f t="shared" si="159"/>
        <v>#DIV/0!</v>
      </c>
    </row>
    <row r="1009" spans="1:7" ht="17.100000000000001" customHeight="1">
      <c r="A1009" s="548"/>
      <c r="B1009" s="2788"/>
      <c r="C1009" s="1824" t="s">
        <v>786</v>
      </c>
      <c r="D1009" s="1696" t="s">
        <v>491</v>
      </c>
      <c r="E1009" s="564">
        <v>2642</v>
      </c>
      <c r="F1009" s="564">
        <v>1555</v>
      </c>
      <c r="G1009" s="1497">
        <f t="shared" si="159"/>
        <v>0.58856926570779711</v>
      </c>
    </row>
    <row r="1010" spans="1:7" ht="17.100000000000001" customHeight="1">
      <c r="A1010" s="548"/>
      <c r="B1010" s="2788"/>
      <c r="C1010" s="1824" t="s">
        <v>692</v>
      </c>
      <c r="D1010" s="1696" t="s">
        <v>491</v>
      </c>
      <c r="E1010" s="564">
        <v>15300</v>
      </c>
      <c r="F1010" s="564">
        <v>15300</v>
      </c>
      <c r="G1010" s="1497">
        <f t="shared" si="159"/>
        <v>1</v>
      </c>
    </row>
    <row r="1011" spans="1:7" ht="17.100000000000001" customHeight="1">
      <c r="A1011" s="548"/>
      <c r="B1011" s="2788"/>
      <c r="C1011" s="1824" t="s">
        <v>693</v>
      </c>
      <c r="D1011" s="1696" t="s">
        <v>491</v>
      </c>
      <c r="E1011" s="564">
        <f>2700+160</f>
        <v>2860</v>
      </c>
      <c r="F1011" s="564">
        <f>2700+95</f>
        <v>2795</v>
      </c>
      <c r="G1011" s="1497">
        <f t="shared" si="159"/>
        <v>0.97727272727272729</v>
      </c>
    </row>
    <row r="1012" spans="1:7" ht="17.100000000000001" customHeight="1">
      <c r="A1012" s="548"/>
      <c r="B1012" s="2788"/>
      <c r="C1012" s="1824" t="s">
        <v>555</v>
      </c>
      <c r="D1012" s="1696" t="s">
        <v>493</v>
      </c>
      <c r="E1012" s="564">
        <v>2000</v>
      </c>
      <c r="F1012" s="564">
        <v>2000</v>
      </c>
      <c r="G1012" s="1497">
        <f t="shared" si="159"/>
        <v>1</v>
      </c>
    </row>
    <row r="1013" spans="1:7" ht="17.100000000000001" hidden="1" customHeight="1">
      <c r="A1013" s="548"/>
      <c r="B1013" s="2788"/>
      <c r="C1013" s="1824" t="s">
        <v>556</v>
      </c>
      <c r="D1013" s="1696" t="s">
        <v>493</v>
      </c>
      <c r="E1013" s="564"/>
      <c r="F1013" s="564">
        <v>0</v>
      </c>
      <c r="G1013" s="1497" t="e">
        <f t="shared" si="159"/>
        <v>#DIV/0!</v>
      </c>
    </row>
    <row r="1014" spans="1:7" ht="17.100000000000001" hidden="1" customHeight="1">
      <c r="A1014" s="548"/>
      <c r="B1014" s="2788"/>
      <c r="C1014" s="1824" t="s">
        <v>496</v>
      </c>
      <c r="D1014" s="1696" t="s">
        <v>497</v>
      </c>
      <c r="E1014" s="564">
        <v>2469</v>
      </c>
      <c r="F1014" s="564">
        <v>0</v>
      </c>
      <c r="G1014" s="1497">
        <f t="shared" si="159"/>
        <v>0</v>
      </c>
    </row>
    <row r="1015" spans="1:7" ht="17.100000000000001" customHeight="1">
      <c r="A1015" s="548"/>
      <c r="B1015" s="2788"/>
      <c r="C1015" s="1824" t="s">
        <v>601</v>
      </c>
      <c r="D1015" s="1696" t="s">
        <v>497</v>
      </c>
      <c r="E1015" s="564">
        <v>53079</v>
      </c>
      <c r="F1015" s="564">
        <v>42192</v>
      </c>
      <c r="G1015" s="1497">
        <f t="shared" si="159"/>
        <v>0.79489063471429378</v>
      </c>
    </row>
    <row r="1016" spans="1:7" ht="17.100000000000001" customHeight="1">
      <c r="A1016" s="548"/>
      <c r="B1016" s="2788"/>
      <c r="C1016" s="1824" t="s">
        <v>557</v>
      </c>
      <c r="D1016" s="1696" t="s">
        <v>497</v>
      </c>
      <c r="E1016" s="564">
        <f>564154+296650+99704+42477</f>
        <v>1002985</v>
      </c>
      <c r="F1016" s="564">
        <f>360000+37400+330560</f>
        <v>727960</v>
      </c>
      <c r="G1016" s="1497">
        <f t="shared" si="159"/>
        <v>0.72579350638344542</v>
      </c>
    </row>
    <row r="1017" spans="1:7" ht="17.100000000000001" customHeight="1">
      <c r="A1017" s="548"/>
      <c r="B1017" s="2788"/>
      <c r="C1017" s="1824" t="s">
        <v>558</v>
      </c>
      <c r="D1017" s="1696" t="s">
        <v>497</v>
      </c>
      <c r="E1017" s="564">
        <f>52350+20809+7496</f>
        <v>80655</v>
      </c>
      <c r="F1017" s="564">
        <f>6600+4426+89105</f>
        <v>100131</v>
      </c>
      <c r="G1017" s="1497">
        <f t="shared" si="159"/>
        <v>1.2414729403012832</v>
      </c>
    </row>
    <row r="1018" spans="1:7" ht="17.100000000000001" customHeight="1">
      <c r="A1018" s="548"/>
      <c r="B1018" s="2788"/>
      <c r="C1018" s="1824" t="s">
        <v>790</v>
      </c>
      <c r="D1018" s="1696" t="s">
        <v>499</v>
      </c>
      <c r="E1018" s="564">
        <v>6031</v>
      </c>
      <c r="F1018" s="564">
        <v>1037</v>
      </c>
      <c r="G1018" s="1497">
        <f t="shared" si="159"/>
        <v>0.17194495108605537</v>
      </c>
    </row>
    <row r="1019" spans="1:7" ht="17.100000000000001" customHeight="1">
      <c r="A1019" s="548"/>
      <c r="B1019" s="2788"/>
      <c r="C1019" s="1824" t="s">
        <v>696</v>
      </c>
      <c r="D1019" s="1696" t="s">
        <v>499</v>
      </c>
      <c r="E1019" s="564">
        <f>3000+6800</f>
        <v>9800</v>
      </c>
      <c r="F1019" s="564">
        <v>1020</v>
      </c>
      <c r="G1019" s="1497">
        <f t="shared" si="159"/>
        <v>0.10408163265306122</v>
      </c>
    </row>
    <row r="1020" spans="1:7" ht="17.100000000000001" customHeight="1">
      <c r="A1020" s="548"/>
      <c r="B1020" s="2788"/>
      <c r="C1020" s="1824" t="s">
        <v>719</v>
      </c>
      <c r="D1020" s="1696" t="s">
        <v>499</v>
      </c>
      <c r="E1020" s="564">
        <f>1200+365</f>
        <v>1565</v>
      </c>
      <c r="F1020" s="564">
        <f>180+63</f>
        <v>243</v>
      </c>
      <c r="G1020" s="1497">
        <f t="shared" si="159"/>
        <v>0.15527156549520768</v>
      </c>
    </row>
    <row r="1021" spans="1:7" ht="17.100000000000001" customHeight="1">
      <c r="A1021" s="548"/>
      <c r="B1021" s="2788"/>
      <c r="C1021" s="1824" t="s">
        <v>675</v>
      </c>
      <c r="D1021" s="1696" t="s">
        <v>649</v>
      </c>
      <c r="E1021" s="564">
        <f>11000+4250+850</f>
        <v>16100</v>
      </c>
      <c r="F1021" s="564">
        <f>5000+850</f>
        <v>5850</v>
      </c>
      <c r="G1021" s="1497">
        <f t="shared" si="159"/>
        <v>0.36335403726708076</v>
      </c>
    </row>
    <row r="1022" spans="1:7" ht="17.100000000000001" customHeight="1">
      <c r="A1022" s="548"/>
      <c r="B1022" s="2788"/>
      <c r="C1022" s="1824" t="s">
        <v>648</v>
      </c>
      <c r="D1022" s="1696" t="s">
        <v>649</v>
      </c>
      <c r="E1022" s="564">
        <f>750+150</f>
        <v>900</v>
      </c>
      <c r="F1022" s="564">
        <v>150</v>
      </c>
      <c r="G1022" s="1497">
        <f t="shared" si="159"/>
        <v>0.16666666666666666</v>
      </c>
    </row>
    <row r="1023" spans="1:7" ht="17.100000000000001" customHeight="1">
      <c r="A1023" s="548"/>
      <c r="B1023" s="2788"/>
      <c r="C1023" s="1824" t="s">
        <v>676</v>
      </c>
      <c r="D1023" s="1696" t="s">
        <v>501</v>
      </c>
      <c r="E1023" s="564">
        <v>71327</v>
      </c>
      <c r="F1023" s="564">
        <v>98551</v>
      </c>
      <c r="G1023" s="1497">
        <f t="shared" si="159"/>
        <v>1.3816787471784877</v>
      </c>
    </row>
    <row r="1024" spans="1:7" ht="17.100000000000001" hidden="1" customHeight="1">
      <c r="A1024" s="548"/>
      <c r="B1024" s="2788"/>
      <c r="C1024" s="1824" t="s">
        <v>559</v>
      </c>
      <c r="D1024" s="1696" t="s">
        <v>501</v>
      </c>
      <c r="E1024" s="564">
        <v>616973</v>
      </c>
      <c r="F1024" s="564">
        <v>0</v>
      </c>
      <c r="G1024" s="1497">
        <f t="shared" si="159"/>
        <v>0</v>
      </c>
    </row>
    <row r="1025" spans="1:7" ht="17.100000000000001" customHeight="1">
      <c r="A1025" s="548"/>
      <c r="B1025" s="2788"/>
      <c r="C1025" s="1824" t="s">
        <v>560</v>
      </c>
      <c r="D1025" s="1696" t="s">
        <v>501</v>
      </c>
      <c r="E1025" s="564">
        <v>113197</v>
      </c>
      <c r="F1025" s="564">
        <v>11880</v>
      </c>
      <c r="G1025" s="1497">
        <f t="shared" si="159"/>
        <v>0.10494977782096698</v>
      </c>
    </row>
    <row r="1026" spans="1:7" ht="27.75" customHeight="1">
      <c r="A1026" s="548"/>
      <c r="B1026" s="2788"/>
      <c r="C1026" s="1824" t="s">
        <v>698</v>
      </c>
      <c r="D1026" s="1696" t="s">
        <v>503</v>
      </c>
      <c r="E1026" s="564">
        <f>6000+17000</f>
        <v>23000</v>
      </c>
      <c r="F1026" s="564">
        <v>11050</v>
      </c>
      <c r="G1026" s="1497">
        <f t="shared" si="159"/>
        <v>0.48043478260869565</v>
      </c>
    </row>
    <row r="1027" spans="1:7" ht="23.25" customHeight="1">
      <c r="A1027" s="548"/>
      <c r="B1027" s="2788"/>
      <c r="C1027" s="1824" t="s">
        <v>699</v>
      </c>
      <c r="D1027" s="1696" t="s">
        <v>503</v>
      </c>
      <c r="E1027" s="564">
        <v>3000</v>
      </c>
      <c r="F1027" s="564">
        <v>1950</v>
      </c>
      <c r="G1027" s="1497">
        <f t="shared" si="159"/>
        <v>0.65</v>
      </c>
    </row>
    <row r="1028" spans="1:7" ht="16.5" customHeight="1">
      <c r="A1028" s="548"/>
      <c r="B1028" s="2788"/>
      <c r="C1028" s="1824" t="s">
        <v>602</v>
      </c>
      <c r="D1028" s="1696" t="s">
        <v>505</v>
      </c>
      <c r="E1028" s="564">
        <v>4020</v>
      </c>
      <c r="F1028" s="564">
        <v>10819</v>
      </c>
      <c r="G1028" s="1497">
        <f t="shared" si="159"/>
        <v>2.6912935323383085</v>
      </c>
    </row>
    <row r="1029" spans="1:7" ht="17.100000000000001" customHeight="1">
      <c r="A1029" s="548"/>
      <c r="B1029" s="2788"/>
      <c r="C1029" s="1824" t="s">
        <v>561</v>
      </c>
      <c r="D1029" s="1696" t="s">
        <v>505</v>
      </c>
      <c r="E1029" s="564">
        <f>10000+9932+3400</f>
        <v>23332</v>
      </c>
      <c r="F1029" s="564">
        <f>8000+4250+5332</f>
        <v>17582</v>
      </c>
      <c r="G1029" s="1497">
        <f t="shared" si="159"/>
        <v>0.75355734613406478</v>
      </c>
    </row>
    <row r="1030" spans="1:7" ht="17.100000000000001" customHeight="1">
      <c r="A1030" s="548"/>
      <c r="B1030" s="2788"/>
      <c r="C1030" s="1824" t="s">
        <v>562</v>
      </c>
      <c r="D1030" s="1696" t="s">
        <v>505</v>
      </c>
      <c r="E1030" s="564">
        <f>1753+244+600</f>
        <v>2597</v>
      </c>
      <c r="F1030" s="564">
        <f>750+1793+1194</f>
        <v>3737</v>
      </c>
      <c r="G1030" s="1497">
        <f t="shared" si="159"/>
        <v>1.4389680400462073</v>
      </c>
    </row>
    <row r="1031" spans="1:7" ht="17.100000000000001" customHeight="1">
      <c r="A1031" s="548"/>
      <c r="B1031" s="2788"/>
      <c r="C1031" s="1824" t="s">
        <v>650</v>
      </c>
      <c r="D1031" s="1696" t="s">
        <v>631</v>
      </c>
      <c r="E1031" s="564">
        <f>15260+2550</f>
        <v>17810</v>
      </c>
      <c r="F1031" s="564">
        <f>12000+2550</f>
        <v>14550</v>
      </c>
      <c r="G1031" s="1497">
        <f t="shared" si="159"/>
        <v>0.81695676586187538</v>
      </c>
    </row>
    <row r="1032" spans="1:7" ht="17.100000000000001" customHeight="1">
      <c r="A1032" s="548"/>
      <c r="B1032" s="2788"/>
      <c r="C1032" s="1824" t="s">
        <v>651</v>
      </c>
      <c r="D1032" s="1696" t="s">
        <v>631</v>
      </c>
      <c r="E1032" s="564">
        <v>450</v>
      </c>
      <c r="F1032" s="564">
        <v>450</v>
      </c>
      <c r="G1032" s="1497">
        <f t="shared" si="159"/>
        <v>1</v>
      </c>
    </row>
    <row r="1033" spans="1:7" ht="17.100000000000001" customHeight="1">
      <c r="A1033" s="548"/>
      <c r="B1033" s="2788"/>
      <c r="C1033" s="1824" t="s">
        <v>957</v>
      </c>
      <c r="D1033" s="1696" t="s">
        <v>507</v>
      </c>
      <c r="E1033" s="564">
        <v>2642</v>
      </c>
      <c r="F1033" s="564">
        <v>94</v>
      </c>
      <c r="G1033" s="1497">
        <f t="shared" ref="G1033:G1142" si="161">F1033/E1033</f>
        <v>3.5579106737320211E-2</v>
      </c>
    </row>
    <row r="1034" spans="1:7" ht="17.100000000000001" customHeight="1">
      <c r="A1034" s="548"/>
      <c r="B1034" s="2788"/>
      <c r="C1034" s="1824" t="s">
        <v>564</v>
      </c>
      <c r="D1034" s="1696" t="s">
        <v>507</v>
      </c>
      <c r="E1034" s="564">
        <v>160</v>
      </c>
      <c r="F1034" s="564">
        <v>6</v>
      </c>
      <c r="G1034" s="1497">
        <f t="shared" si="161"/>
        <v>3.7499999999999999E-2</v>
      </c>
    </row>
    <row r="1035" spans="1:7" ht="17.100000000000001" customHeight="1">
      <c r="A1035" s="548"/>
      <c r="B1035" s="2788"/>
      <c r="C1035" s="1824" t="s">
        <v>700</v>
      </c>
      <c r="D1035" s="1696" t="s">
        <v>515</v>
      </c>
      <c r="E1035" s="564">
        <v>1275</v>
      </c>
      <c r="F1035" s="564">
        <v>382</v>
      </c>
      <c r="G1035" s="1497">
        <f t="shared" si="161"/>
        <v>0.29960784313725491</v>
      </c>
    </row>
    <row r="1036" spans="1:7" ht="17.100000000000001" customHeight="1">
      <c r="A1036" s="548"/>
      <c r="B1036" s="2788"/>
      <c r="C1036" s="1825" t="s">
        <v>701</v>
      </c>
      <c r="D1036" s="1696" t="s">
        <v>515</v>
      </c>
      <c r="E1036" s="564">
        <v>225</v>
      </c>
      <c r="F1036" s="564">
        <v>68</v>
      </c>
      <c r="G1036" s="1497">
        <f t="shared" si="161"/>
        <v>0.30222222222222223</v>
      </c>
    </row>
    <row r="1037" spans="1:7" ht="40.5" hidden="1" customHeight="1">
      <c r="A1037" s="548"/>
      <c r="B1037" s="2788"/>
      <c r="C1037" s="1571" t="s">
        <v>589</v>
      </c>
      <c r="D1037" s="1831" t="s">
        <v>590</v>
      </c>
      <c r="E1037" s="564"/>
      <c r="F1037" s="564">
        <v>0</v>
      </c>
      <c r="G1037" s="1497" t="e">
        <f t="shared" si="161"/>
        <v>#DIV/0!</v>
      </c>
    </row>
    <row r="1038" spans="1:7" ht="17.100000000000001" customHeight="1">
      <c r="A1038" s="548"/>
      <c r="B1038" s="2788"/>
      <c r="C1038" s="1839" t="s">
        <v>565</v>
      </c>
      <c r="D1038" s="1831" t="s">
        <v>705</v>
      </c>
      <c r="E1038" s="564">
        <f>9000+93500</f>
        <v>102500</v>
      </c>
      <c r="F1038" s="564">
        <f>9000+1931</f>
        <v>10931</v>
      </c>
      <c r="G1038" s="1497">
        <f t="shared" si="161"/>
        <v>0.10664390243902439</v>
      </c>
    </row>
    <row r="1039" spans="1:7" ht="17.100000000000001" customHeight="1">
      <c r="A1039" s="2888"/>
      <c r="B1039" s="2788"/>
      <c r="C1039" s="1839" t="s">
        <v>566</v>
      </c>
      <c r="D1039" s="606" t="s">
        <v>705</v>
      </c>
      <c r="E1039" s="564">
        <v>16500</v>
      </c>
      <c r="F1039" s="564">
        <v>593</v>
      </c>
      <c r="G1039" s="1827">
        <f t="shared" si="161"/>
        <v>3.5939393939393938E-2</v>
      </c>
    </row>
    <row r="1040" spans="1:7" ht="17.100000000000001" customHeight="1">
      <c r="A1040" s="2888"/>
      <c r="B1040" s="2788"/>
      <c r="C1040" s="1840"/>
      <c r="D1040" s="1841"/>
      <c r="E1040" s="1842"/>
      <c r="F1040" s="1842"/>
      <c r="G1040" s="1843"/>
    </row>
    <row r="1041" spans="1:7" ht="17.100000000000001" customHeight="1">
      <c r="A1041" s="2888"/>
      <c r="B1041" s="2788"/>
      <c r="C1041" s="2907" t="s">
        <v>523</v>
      </c>
      <c r="D1041" s="2908"/>
      <c r="E1041" s="607">
        <f>E1042+E1054</f>
        <v>2322089</v>
      </c>
      <c r="F1041" s="607">
        <f t="shared" ref="F1041" si="162">F1042+F1054</f>
        <v>1695771</v>
      </c>
      <c r="G1041" s="1424">
        <f t="shared" si="161"/>
        <v>0.73027821069735055</v>
      </c>
    </row>
    <row r="1042" spans="1:7" ht="17.100000000000001" customHeight="1">
      <c r="A1042" s="2888"/>
      <c r="B1042" s="2788"/>
      <c r="C1042" s="2909" t="s">
        <v>524</v>
      </c>
      <c r="D1042" s="2910"/>
      <c r="E1042" s="1651">
        <f>SUM(E1043:E1052)</f>
        <v>2322089</v>
      </c>
      <c r="F1042" s="1651">
        <f>SUM(F1043:F1052)</f>
        <v>1695771</v>
      </c>
      <c r="G1042" s="1437">
        <f t="shared" si="161"/>
        <v>0.73027821069735055</v>
      </c>
    </row>
    <row r="1043" spans="1:7" ht="17.100000000000001" customHeight="1">
      <c r="A1043" s="2888"/>
      <c r="B1043" s="2788"/>
      <c r="C1043" s="1824" t="s">
        <v>531</v>
      </c>
      <c r="D1043" s="1696" t="s">
        <v>526</v>
      </c>
      <c r="E1043" s="1821">
        <v>250000</v>
      </c>
      <c r="F1043" s="1821">
        <v>250000</v>
      </c>
      <c r="G1043" s="1706">
        <f t="shared" si="161"/>
        <v>1</v>
      </c>
    </row>
    <row r="1044" spans="1:7" ht="17.100000000000001" hidden="1" customHeight="1">
      <c r="A1044" s="2888"/>
      <c r="B1044" s="2788"/>
      <c r="C1044" s="1824" t="s">
        <v>604</v>
      </c>
      <c r="D1044" s="1696" t="s">
        <v>571</v>
      </c>
      <c r="E1044" s="1821">
        <v>128298</v>
      </c>
      <c r="F1044" s="1821">
        <v>0</v>
      </c>
      <c r="G1044" s="1706">
        <f t="shared" si="161"/>
        <v>0</v>
      </c>
    </row>
    <row r="1045" spans="1:7" ht="17.100000000000001" hidden="1" customHeight="1">
      <c r="A1045" s="2888"/>
      <c r="B1045" s="2788"/>
      <c r="C1045" s="1824" t="s">
        <v>638</v>
      </c>
      <c r="D1045" s="1696" t="s">
        <v>571</v>
      </c>
      <c r="E1045" s="1651">
        <v>14000</v>
      </c>
      <c r="F1045" s="1651">
        <v>0</v>
      </c>
      <c r="G1045" s="1437">
        <f t="shared" si="161"/>
        <v>0</v>
      </c>
    </row>
    <row r="1046" spans="1:7" ht="17.100000000000001" hidden="1" customHeight="1">
      <c r="A1046" s="2888"/>
      <c r="B1046" s="743"/>
      <c r="C1046" s="1824" t="s">
        <v>623</v>
      </c>
      <c r="D1046" s="1696" t="s">
        <v>571</v>
      </c>
      <c r="E1046" s="1651">
        <v>7770</v>
      </c>
      <c r="F1046" s="1651">
        <v>0</v>
      </c>
      <c r="G1046" s="1437">
        <f t="shared" si="161"/>
        <v>0</v>
      </c>
    </row>
    <row r="1047" spans="1:7" ht="46.5" hidden="1" customHeight="1">
      <c r="A1047" s="2888"/>
      <c r="B1047" s="743"/>
      <c r="C1047" s="1824" t="s">
        <v>605</v>
      </c>
      <c r="D1047" s="745" t="s">
        <v>611</v>
      </c>
      <c r="E1047" s="1651">
        <v>64149</v>
      </c>
      <c r="F1047" s="1651">
        <v>0</v>
      </c>
      <c r="G1047" s="1437">
        <f t="shared" si="161"/>
        <v>0</v>
      </c>
    </row>
    <row r="1048" spans="1:7" ht="42" hidden="1" customHeight="1">
      <c r="A1048" s="2888"/>
      <c r="B1048" s="743"/>
      <c r="C1048" s="1824" t="s">
        <v>607</v>
      </c>
      <c r="D1048" s="1844" t="s">
        <v>611</v>
      </c>
      <c r="E1048" s="1651">
        <f>3885+20000</f>
        <v>23885</v>
      </c>
      <c r="F1048" s="1651">
        <v>0</v>
      </c>
      <c r="G1048" s="1437">
        <f t="shared" si="161"/>
        <v>0</v>
      </c>
    </row>
    <row r="1049" spans="1:7" ht="53.25" hidden="1" customHeight="1">
      <c r="A1049" s="2888"/>
      <c r="B1049" s="743"/>
      <c r="C1049" s="1824" t="s">
        <v>670</v>
      </c>
      <c r="D1049" s="1845" t="s">
        <v>609</v>
      </c>
      <c r="E1049" s="1651">
        <v>833946</v>
      </c>
      <c r="F1049" s="1651">
        <v>0</v>
      </c>
      <c r="G1049" s="1437">
        <f t="shared" si="161"/>
        <v>0</v>
      </c>
    </row>
    <row r="1050" spans="1:7" ht="53.25" customHeight="1" thickBot="1">
      <c r="A1050" s="2888"/>
      <c r="B1050" s="743"/>
      <c r="C1050" s="1824" t="s">
        <v>608</v>
      </c>
      <c r="D1050" s="1845" t="s">
        <v>609</v>
      </c>
      <c r="E1050" s="1651">
        <f>50502+949539</f>
        <v>1000041</v>
      </c>
      <c r="F1050" s="1651">
        <v>1445771</v>
      </c>
      <c r="G1050" s="1437">
        <f t="shared" si="161"/>
        <v>1.4457117258192413</v>
      </c>
    </row>
    <row r="1051" spans="1:7" ht="39" hidden="1" thickBot="1">
      <c r="A1051" s="2888"/>
      <c r="B1051" s="743"/>
      <c r="C1051" s="1824" t="s">
        <v>720</v>
      </c>
      <c r="D1051" s="1696" t="s">
        <v>721</v>
      </c>
      <c r="E1051" s="1651">
        <v>0</v>
      </c>
      <c r="F1051" s="1651">
        <v>0</v>
      </c>
      <c r="G1051" s="1437"/>
    </row>
    <row r="1052" spans="1:7" ht="51.75" hidden="1" thickBot="1">
      <c r="A1052" s="2888"/>
      <c r="B1052" s="743"/>
      <c r="C1052" s="1846" t="s">
        <v>722</v>
      </c>
      <c r="D1052" s="745" t="s">
        <v>533</v>
      </c>
      <c r="E1052" s="1821"/>
      <c r="F1052" s="1821">
        <v>0</v>
      </c>
      <c r="G1052" s="1706" t="e">
        <f t="shared" si="161"/>
        <v>#DIV/0!</v>
      </c>
    </row>
    <row r="1053" spans="1:7" ht="15.75" hidden="1" thickBot="1">
      <c r="A1053" s="2888"/>
      <c r="B1053" s="743"/>
      <c r="C1053" s="2911"/>
      <c r="D1053" s="2912"/>
      <c r="E1053" s="1847"/>
      <c r="F1053" s="1847"/>
      <c r="G1053" s="1848"/>
    </row>
    <row r="1054" spans="1:7" ht="15.75" hidden="1" thickBot="1">
      <c r="A1054" s="2888"/>
      <c r="B1054" s="743"/>
      <c r="C1054" s="2913" t="s">
        <v>723</v>
      </c>
      <c r="D1054" s="2914"/>
      <c r="E1054" s="1847">
        <f>E1055</f>
        <v>0</v>
      </c>
      <c r="F1054" s="1847">
        <f t="shared" ref="F1054" si="163">F1055</f>
        <v>0</v>
      </c>
      <c r="G1054" s="1848" t="e">
        <f t="shared" si="161"/>
        <v>#DIV/0!</v>
      </c>
    </row>
    <row r="1055" spans="1:7" ht="39" hidden="1" thickBot="1">
      <c r="A1055" s="2888"/>
      <c r="B1055" s="743"/>
      <c r="C1055" s="1849" t="s">
        <v>724</v>
      </c>
      <c r="D1055" s="1850" t="s">
        <v>725</v>
      </c>
      <c r="E1055" s="1847"/>
      <c r="F1055" s="1847">
        <v>0</v>
      </c>
      <c r="G1055" s="1848" t="e">
        <f t="shared" si="161"/>
        <v>#DIV/0!</v>
      </c>
    </row>
    <row r="1056" spans="1:7" ht="18" hidden="1" customHeight="1">
      <c r="A1056" s="2888"/>
      <c r="B1056" s="743"/>
      <c r="C1056" s="748"/>
      <c r="D1056" s="745"/>
      <c r="E1056" s="551"/>
      <c r="F1056" s="551"/>
      <c r="G1056" s="1438"/>
    </row>
    <row r="1057" spans="1:7" ht="17.100000000000001" hidden="1" customHeight="1">
      <c r="A1057" s="2888"/>
      <c r="B1057" s="743"/>
      <c r="C1057" s="2915" t="s">
        <v>534</v>
      </c>
      <c r="D1057" s="2916"/>
      <c r="E1057" s="1851">
        <f>SUM(E1058:E1065)</f>
        <v>1102550</v>
      </c>
      <c r="F1057" s="1851">
        <f>SUM(F1058:F1065)</f>
        <v>0</v>
      </c>
      <c r="G1057" s="1852">
        <f t="shared" si="161"/>
        <v>0</v>
      </c>
    </row>
    <row r="1058" spans="1:7" ht="17.100000000000001" hidden="1" customHeight="1">
      <c r="A1058" s="548"/>
      <c r="B1058" s="743"/>
      <c r="C1058" s="1853" t="s">
        <v>604</v>
      </c>
      <c r="D1058" s="1854" t="s">
        <v>571</v>
      </c>
      <c r="E1058" s="1851">
        <v>128298</v>
      </c>
      <c r="F1058" s="1851">
        <v>0</v>
      </c>
      <c r="G1058" s="1848">
        <f t="shared" si="161"/>
        <v>0</v>
      </c>
    </row>
    <row r="1059" spans="1:7" ht="17.100000000000001" hidden="1" customHeight="1">
      <c r="A1059" s="548"/>
      <c r="B1059" s="743"/>
      <c r="C1059" s="1855" t="s">
        <v>638</v>
      </c>
      <c r="D1059" s="1854" t="s">
        <v>571</v>
      </c>
      <c r="E1059" s="1847">
        <v>14000</v>
      </c>
      <c r="F1059" s="1847">
        <v>0</v>
      </c>
      <c r="G1059" s="1848">
        <f t="shared" si="161"/>
        <v>0</v>
      </c>
    </row>
    <row r="1060" spans="1:7" ht="17.100000000000001" hidden="1" customHeight="1">
      <c r="A1060" s="548"/>
      <c r="B1060" s="743"/>
      <c r="C1060" s="1856" t="s">
        <v>623</v>
      </c>
      <c r="D1060" s="1756" t="s">
        <v>571</v>
      </c>
      <c r="E1060" s="602">
        <v>7770</v>
      </c>
      <c r="F1060" s="602">
        <v>0</v>
      </c>
      <c r="G1060" s="1706">
        <f t="shared" si="161"/>
        <v>0</v>
      </c>
    </row>
    <row r="1061" spans="1:7" ht="42.75" hidden="1" customHeight="1">
      <c r="A1061" s="548"/>
      <c r="B1061" s="743"/>
      <c r="C1061" s="1824" t="s">
        <v>605</v>
      </c>
      <c r="D1061" s="745" t="s">
        <v>611</v>
      </c>
      <c r="E1061" s="594">
        <v>64149</v>
      </c>
      <c r="F1061" s="594">
        <v>0</v>
      </c>
      <c r="G1061" s="1437">
        <f t="shared" si="161"/>
        <v>0</v>
      </c>
    </row>
    <row r="1062" spans="1:7" ht="60.75" hidden="1" customHeight="1">
      <c r="A1062" s="548"/>
      <c r="B1062" s="743"/>
      <c r="C1062" s="1824" t="s">
        <v>607</v>
      </c>
      <c r="D1062" s="1673" t="s">
        <v>611</v>
      </c>
      <c r="E1062" s="1651">
        <v>3885</v>
      </c>
      <c r="F1062" s="1651">
        <v>0</v>
      </c>
      <c r="G1062" s="1437">
        <f t="shared" si="161"/>
        <v>0</v>
      </c>
    </row>
    <row r="1063" spans="1:7" ht="49.5" hidden="1" customHeight="1">
      <c r="A1063" s="548"/>
      <c r="B1063" s="743"/>
      <c r="C1063" s="1824" t="s">
        <v>670</v>
      </c>
      <c r="D1063" s="1625" t="s">
        <v>609</v>
      </c>
      <c r="E1063" s="594">
        <v>833946</v>
      </c>
      <c r="F1063" s="594">
        <v>0</v>
      </c>
      <c r="G1063" s="1437">
        <f t="shared" si="161"/>
        <v>0</v>
      </c>
    </row>
    <row r="1064" spans="1:7" ht="51" hidden="1" customHeight="1" thickBot="1">
      <c r="A1064" s="548"/>
      <c r="B1064" s="743"/>
      <c r="C1064" s="1824" t="s">
        <v>608</v>
      </c>
      <c r="D1064" s="1845" t="s">
        <v>609</v>
      </c>
      <c r="E1064" s="1651">
        <v>50502</v>
      </c>
      <c r="F1064" s="1651">
        <v>0</v>
      </c>
      <c r="G1064" s="1437">
        <f t="shared" si="161"/>
        <v>0</v>
      </c>
    </row>
    <row r="1065" spans="1:7" ht="54" hidden="1" customHeight="1" thickBot="1">
      <c r="A1065" s="548"/>
      <c r="B1065" s="743"/>
      <c r="C1065" s="1857" t="s">
        <v>722</v>
      </c>
      <c r="D1065" s="745" t="s">
        <v>533</v>
      </c>
      <c r="E1065" s="594"/>
      <c r="F1065" s="594">
        <v>0</v>
      </c>
      <c r="G1065" s="1438" t="e">
        <f t="shared" si="161"/>
        <v>#DIV/0!</v>
      </c>
    </row>
    <row r="1066" spans="1:7" ht="22.5" hidden="1" customHeight="1" thickBot="1">
      <c r="A1066" s="545" t="s">
        <v>726</v>
      </c>
      <c r="B1066" s="546"/>
      <c r="C1066" s="1416"/>
      <c r="D1066" s="1417" t="s">
        <v>727</v>
      </c>
      <c r="E1066" s="547">
        <f t="shared" ref="E1066:F1069" si="164">E1067</f>
        <v>5000</v>
      </c>
      <c r="F1066" s="547">
        <f t="shared" si="164"/>
        <v>0</v>
      </c>
      <c r="G1066" s="1858">
        <f>F1066/E1066</f>
        <v>0</v>
      </c>
    </row>
    <row r="1067" spans="1:7" ht="14.25" hidden="1" customHeight="1" thickBot="1">
      <c r="A1067" s="548"/>
      <c r="B1067" s="559" t="s">
        <v>728</v>
      </c>
      <c r="C1067" s="560"/>
      <c r="D1067" s="561" t="s">
        <v>336</v>
      </c>
      <c r="E1067" s="562">
        <f t="shared" si="164"/>
        <v>5000</v>
      </c>
      <c r="F1067" s="562">
        <f t="shared" si="164"/>
        <v>0</v>
      </c>
      <c r="G1067" s="608">
        <f>F1067/E1067</f>
        <v>0</v>
      </c>
    </row>
    <row r="1068" spans="1:7" ht="15" hidden="1" customHeight="1">
      <c r="A1068" s="548"/>
      <c r="B1068" s="743"/>
      <c r="C1068" s="2853" t="s">
        <v>470</v>
      </c>
      <c r="D1068" s="2853"/>
      <c r="E1068" s="609">
        <f t="shared" si="164"/>
        <v>5000</v>
      </c>
      <c r="F1068" s="609">
        <f t="shared" si="164"/>
        <v>0</v>
      </c>
      <c r="G1068" s="610">
        <f>F1068/E1068</f>
        <v>0</v>
      </c>
    </row>
    <row r="1069" spans="1:7" ht="17.25" hidden="1" customHeight="1">
      <c r="A1069" s="548"/>
      <c r="B1069" s="743"/>
      <c r="C1069" s="2920" t="s">
        <v>471</v>
      </c>
      <c r="D1069" s="2920"/>
      <c r="E1069" s="1651">
        <f t="shared" si="164"/>
        <v>5000</v>
      </c>
      <c r="F1069" s="1651">
        <f t="shared" si="164"/>
        <v>0</v>
      </c>
      <c r="G1069" s="1827">
        <f t="shared" ref="G1069:G1072" si="165">F1069/E1069</f>
        <v>0</v>
      </c>
    </row>
    <row r="1070" spans="1:7" ht="17.25" hidden="1" customHeight="1">
      <c r="A1070" s="548"/>
      <c r="B1070" s="743"/>
      <c r="C1070" s="2922" t="s">
        <v>483</v>
      </c>
      <c r="D1070" s="2922"/>
      <c r="E1070" s="1651">
        <f>E1071+E1072</f>
        <v>5000</v>
      </c>
      <c r="F1070" s="1651">
        <f>F1071+F1072</f>
        <v>0</v>
      </c>
      <c r="G1070" s="1437">
        <f t="shared" si="165"/>
        <v>0</v>
      </c>
    </row>
    <row r="1071" spans="1:7" ht="18" hidden="1" customHeight="1">
      <c r="A1071" s="548"/>
      <c r="B1071" s="743"/>
      <c r="C1071" s="1824" t="s">
        <v>486</v>
      </c>
      <c r="D1071" s="1696" t="s">
        <v>487</v>
      </c>
      <c r="E1071" s="1651">
        <v>663</v>
      </c>
      <c r="F1071" s="1651">
        <v>0</v>
      </c>
      <c r="G1071" s="1827">
        <f t="shared" si="165"/>
        <v>0</v>
      </c>
    </row>
    <row r="1072" spans="1:7" ht="18" hidden="1" customHeight="1" thickBot="1">
      <c r="A1072" s="548"/>
      <c r="B1072" s="743"/>
      <c r="C1072" s="1824" t="s">
        <v>496</v>
      </c>
      <c r="D1072" s="1696" t="s">
        <v>497</v>
      </c>
      <c r="E1072" s="594">
        <v>4337</v>
      </c>
      <c r="F1072" s="611">
        <v>0</v>
      </c>
      <c r="G1072" s="1445">
        <f t="shared" si="165"/>
        <v>0</v>
      </c>
    </row>
    <row r="1073" spans="1:7" ht="17.100000000000001" customHeight="1" thickBot="1">
      <c r="A1073" s="545" t="s">
        <v>116</v>
      </c>
      <c r="B1073" s="546"/>
      <c r="C1073" s="1416"/>
      <c r="D1073" s="1417" t="s">
        <v>729</v>
      </c>
      <c r="E1073" s="547">
        <f>E1074+E1081+E1089+E1101+E1093</f>
        <v>2073450</v>
      </c>
      <c r="F1073" s="547">
        <f t="shared" ref="F1073" si="166">F1074+F1081+F1089+F1101+F1093</f>
        <v>1220000</v>
      </c>
      <c r="G1073" s="1418">
        <f t="shared" si="161"/>
        <v>0.58839132846222475</v>
      </c>
    </row>
    <row r="1074" spans="1:7" ht="13.5" thickBot="1">
      <c r="A1074" s="548"/>
      <c r="B1074" s="559" t="s">
        <v>117</v>
      </c>
      <c r="C1074" s="560"/>
      <c r="D1074" s="561" t="s">
        <v>730</v>
      </c>
      <c r="E1074" s="562">
        <f>E1075+E1078</f>
        <v>450000</v>
      </c>
      <c r="F1074" s="562">
        <f>F1075+F1078</f>
        <v>350000</v>
      </c>
      <c r="G1074" s="1478">
        <f t="shared" si="161"/>
        <v>0.77777777777777779</v>
      </c>
    </row>
    <row r="1075" spans="1:7" ht="16.5" hidden="1" customHeight="1">
      <c r="A1075" s="548"/>
      <c r="B1075" s="575"/>
      <c r="C1075" s="2853" t="s">
        <v>470</v>
      </c>
      <c r="D1075" s="2853"/>
      <c r="E1075" s="1859">
        <f>E1076</f>
        <v>100000</v>
      </c>
      <c r="F1075" s="1859">
        <f>F1076</f>
        <v>0</v>
      </c>
      <c r="G1075" s="1424">
        <f t="shared" si="161"/>
        <v>0</v>
      </c>
    </row>
    <row r="1076" spans="1:7" ht="20.25" hidden="1" customHeight="1">
      <c r="A1076" s="548"/>
      <c r="B1076" s="575"/>
      <c r="C1076" s="2935" t="s">
        <v>567</v>
      </c>
      <c r="D1076" s="2936"/>
      <c r="E1076" s="1860">
        <f>E1077</f>
        <v>100000</v>
      </c>
      <c r="F1076" s="1860">
        <v>0</v>
      </c>
      <c r="G1076" s="1497">
        <f t="shared" si="161"/>
        <v>0</v>
      </c>
    </row>
    <row r="1077" spans="1:7" ht="15.75" hidden="1" customHeight="1">
      <c r="A1077" s="548"/>
      <c r="B1077" s="575"/>
      <c r="C1077" s="1861" t="s">
        <v>1061</v>
      </c>
      <c r="D1077" s="1862" t="s">
        <v>735</v>
      </c>
      <c r="E1077" s="1860">
        <v>100000</v>
      </c>
      <c r="F1077" s="1860">
        <v>0</v>
      </c>
      <c r="G1077" s="1497">
        <f t="shared" si="161"/>
        <v>0</v>
      </c>
    </row>
    <row r="1078" spans="1:7" ht="17.100000000000001" customHeight="1">
      <c r="A1078" s="548"/>
      <c r="B1078" s="2788"/>
      <c r="C1078" s="2879" t="s">
        <v>523</v>
      </c>
      <c r="D1078" s="2937"/>
      <c r="E1078" s="549">
        <f t="shared" ref="E1078:F1079" si="167">E1079</f>
        <v>350000</v>
      </c>
      <c r="F1078" s="549">
        <f t="shared" si="167"/>
        <v>350000</v>
      </c>
      <c r="G1078" s="1424">
        <f t="shared" si="161"/>
        <v>1</v>
      </c>
    </row>
    <row r="1079" spans="1:7" ht="17.100000000000001" customHeight="1">
      <c r="A1079" s="548"/>
      <c r="B1079" s="2788"/>
      <c r="C1079" s="2923" t="s">
        <v>524</v>
      </c>
      <c r="D1079" s="2938"/>
      <c r="E1079" s="1436">
        <f t="shared" si="167"/>
        <v>350000</v>
      </c>
      <c r="F1079" s="1436">
        <f t="shared" si="167"/>
        <v>350000</v>
      </c>
      <c r="G1079" s="1437">
        <f t="shared" si="161"/>
        <v>1</v>
      </c>
    </row>
    <row r="1080" spans="1:7" ht="29.25" customHeight="1" thickBot="1">
      <c r="A1080" s="548"/>
      <c r="B1080" s="2788"/>
      <c r="C1080" s="1863" t="s">
        <v>731</v>
      </c>
      <c r="D1080" s="1864" t="s">
        <v>732</v>
      </c>
      <c r="E1080" s="1865">
        <v>350000</v>
      </c>
      <c r="F1080" s="1865">
        <v>350000</v>
      </c>
      <c r="G1080" s="1827">
        <f t="shared" si="161"/>
        <v>1</v>
      </c>
    </row>
    <row r="1081" spans="1:7" ht="17.100000000000001" customHeight="1" thickBot="1">
      <c r="A1081" s="548"/>
      <c r="B1081" s="559" t="s">
        <v>118</v>
      </c>
      <c r="C1081" s="560"/>
      <c r="D1081" s="561" t="s">
        <v>733</v>
      </c>
      <c r="E1081" s="562">
        <f t="shared" ref="E1081:F1081" si="168">E1082+E1086</f>
        <v>185000</v>
      </c>
      <c r="F1081" s="562">
        <f t="shared" si="168"/>
        <v>150000</v>
      </c>
      <c r="G1081" s="1478">
        <f t="shared" si="161"/>
        <v>0.81081081081081086</v>
      </c>
    </row>
    <row r="1082" spans="1:7" ht="17.100000000000001" hidden="1" customHeight="1">
      <c r="A1082" s="548"/>
      <c r="B1082" s="2771"/>
      <c r="C1082" s="2853" t="s">
        <v>470</v>
      </c>
      <c r="D1082" s="2927"/>
      <c r="E1082" s="1866"/>
      <c r="F1082" s="1866"/>
      <c r="G1082" s="1867" t="e">
        <f t="shared" si="161"/>
        <v>#DIV/0!</v>
      </c>
    </row>
    <row r="1083" spans="1:7" ht="17.100000000000001" hidden="1" customHeight="1">
      <c r="A1083" s="548"/>
      <c r="B1083" s="2771"/>
      <c r="C1083" s="2928" t="s">
        <v>567</v>
      </c>
      <c r="D1083" s="2929"/>
      <c r="E1083" s="1868"/>
      <c r="F1083" s="1868"/>
      <c r="G1083" s="1869" t="e">
        <f t="shared" si="161"/>
        <v>#DIV/0!</v>
      </c>
    </row>
    <row r="1084" spans="1:7" ht="17.100000000000001" hidden="1" customHeight="1">
      <c r="A1084" s="548"/>
      <c r="B1084" s="2771"/>
      <c r="C1084" s="1824" t="s">
        <v>734</v>
      </c>
      <c r="D1084" s="1870" t="s">
        <v>735</v>
      </c>
      <c r="E1084" s="1868"/>
      <c r="F1084" s="1868"/>
      <c r="G1084" s="1869" t="e">
        <f t="shared" si="161"/>
        <v>#DIV/0!</v>
      </c>
    </row>
    <row r="1085" spans="1:7" ht="17.100000000000001" hidden="1" customHeight="1">
      <c r="A1085" s="548"/>
      <c r="B1085" s="2788"/>
      <c r="C1085" s="2930"/>
      <c r="D1085" s="2931"/>
      <c r="E1085" s="1871"/>
      <c r="F1085" s="1871"/>
      <c r="G1085" s="1872" t="e">
        <f t="shared" si="161"/>
        <v>#DIV/0!</v>
      </c>
    </row>
    <row r="1086" spans="1:7" ht="17.100000000000001" customHeight="1">
      <c r="A1086" s="548"/>
      <c r="B1086" s="2788"/>
      <c r="C1086" s="2932" t="s">
        <v>523</v>
      </c>
      <c r="D1086" s="2933"/>
      <c r="E1086" s="1873">
        <f t="shared" ref="E1086:F1087" si="169">E1087</f>
        <v>185000</v>
      </c>
      <c r="F1086" s="1873">
        <f t="shared" si="169"/>
        <v>150000</v>
      </c>
      <c r="G1086" s="1874">
        <f t="shared" si="161"/>
        <v>0.81081081081081086</v>
      </c>
    </row>
    <row r="1087" spans="1:7" ht="17.100000000000001" customHeight="1">
      <c r="A1087" s="548"/>
      <c r="B1087" s="2788"/>
      <c r="C1087" s="2928" t="s">
        <v>524</v>
      </c>
      <c r="D1087" s="2934"/>
      <c r="E1087" s="1875">
        <f t="shared" si="169"/>
        <v>185000</v>
      </c>
      <c r="F1087" s="1875">
        <f t="shared" si="169"/>
        <v>150000</v>
      </c>
      <c r="G1087" s="1876">
        <f t="shared" si="161"/>
        <v>0.81081081081081086</v>
      </c>
    </row>
    <row r="1088" spans="1:7" ht="27" customHeight="1" thickBot="1">
      <c r="A1088" s="548"/>
      <c r="B1088" s="2926"/>
      <c r="C1088" s="1877" t="s">
        <v>731</v>
      </c>
      <c r="D1088" s="1878" t="s">
        <v>732</v>
      </c>
      <c r="E1088" s="612">
        <v>185000</v>
      </c>
      <c r="F1088" s="612">
        <v>150000</v>
      </c>
      <c r="G1088" s="1879">
        <f t="shared" si="161"/>
        <v>0.81081081081081086</v>
      </c>
    </row>
    <row r="1089" spans="1:7" ht="17.25" customHeight="1" thickBot="1">
      <c r="A1089" s="548"/>
      <c r="B1089" s="559" t="s">
        <v>119</v>
      </c>
      <c r="C1089" s="560"/>
      <c r="D1089" s="561" t="s">
        <v>736</v>
      </c>
      <c r="E1089" s="613">
        <f t="shared" ref="E1089:F1095" si="170">E1090</f>
        <v>722850</v>
      </c>
      <c r="F1089" s="613">
        <f t="shared" si="170"/>
        <v>300000</v>
      </c>
      <c r="G1089" s="1880">
        <f t="shared" si="161"/>
        <v>0.41502386387217266</v>
      </c>
    </row>
    <row r="1090" spans="1:7" ht="17.100000000000001" customHeight="1">
      <c r="A1090" s="548"/>
      <c r="B1090" s="2888"/>
      <c r="C1090" s="2853" t="s">
        <v>523</v>
      </c>
      <c r="D1090" s="2853"/>
      <c r="E1090" s="614">
        <f t="shared" si="170"/>
        <v>722850</v>
      </c>
      <c r="F1090" s="614">
        <f t="shared" si="170"/>
        <v>300000</v>
      </c>
      <c r="G1090" s="1881">
        <f t="shared" si="161"/>
        <v>0.41502386387217266</v>
      </c>
    </row>
    <row r="1091" spans="1:7" ht="17.100000000000001" customHeight="1">
      <c r="A1091" s="548"/>
      <c r="B1091" s="2888"/>
      <c r="C1091" s="2928" t="s">
        <v>524</v>
      </c>
      <c r="D1091" s="2934"/>
      <c r="E1091" s="1875">
        <f t="shared" si="170"/>
        <v>722850</v>
      </c>
      <c r="F1091" s="1875">
        <f t="shared" si="170"/>
        <v>300000</v>
      </c>
      <c r="G1091" s="1876">
        <f t="shared" si="161"/>
        <v>0.41502386387217266</v>
      </c>
    </row>
    <row r="1092" spans="1:7" ht="27" customHeight="1" thickBot="1">
      <c r="A1092" s="548"/>
      <c r="B1092" s="2888"/>
      <c r="C1092" s="1863" t="s">
        <v>731</v>
      </c>
      <c r="D1092" s="1864" t="s">
        <v>732</v>
      </c>
      <c r="E1092" s="1882">
        <v>722850</v>
      </c>
      <c r="F1092" s="1882">
        <v>300000</v>
      </c>
      <c r="G1092" s="1883">
        <f t="shared" si="161"/>
        <v>0.41502386387217266</v>
      </c>
    </row>
    <row r="1093" spans="1:7" ht="18" hidden="1" customHeight="1" thickBot="1">
      <c r="A1093" s="548"/>
      <c r="B1093" s="559" t="s">
        <v>737</v>
      </c>
      <c r="C1093" s="560"/>
      <c r="D1093" s="561" t="s">
        <v>738</v>
      </c>
      <c r="E1093" s="613">
        <f>E1094+E1098</f>
        <v>355600</v>
      </c>
      <c r="F1093" s="613">
        <f t="shared" ref="F1093" si="171">F1094+F1098</f>
        <v>0</v>
      </c>
      <c r="G1093" s="1880">
        <f t="shared" si="161"/>
        <v>0</v>
      </c>
    </row>
    <row r="1094" spans="1:7" ht="18" hidden="1" customHeight="1">
      <c r="A1094" s="548"/>
      <c r="B1094" s="746"/>
      <c r="C1094" s="2853" t="s">
        <v>470</v>
      </c>
      <c r="D1094" s="2853"/>
      <c r="E1094" s="615">
        <f>E1095</f>
        <v>75600</v>
      </c>
      <c r="F1094" s="615">
        <f t="shared" si="170"/>
        <v>0</v>
      </c>
      <c r="G1094" s="1884">
        <f t="shared" si="161"/>
        <v>0</v>
      </c>
    </row>
    <row r="1095" spans="1:7" ht="12.75" hidden="1" customHeight="1">
      <c r="A1095" s="548"/>
      <c r="B1095" s="746"/>
      <c r="C1095" s="2928" t="s">
        <v>567</v>
      </c>
      <c r="D1095" s="2928"/>
      <c r="E1095" s="1875">
        <f>E1096</f>
        <v>75600</v>
      </c>
      <c r="F1095" s="1875">
        <f t="shared" si="170"/>
        <v>0</v>
      </c>
      <c r="G1095" s="1876">
        <f t="shared" si="161"/>
        <v>0</v>
      </c>
    </row>
    <row r="1096" spans="1:7" ht="26.25" hidden="1" customHeight="1">
      <c r="A1096" s="548"/>
      <c r="B1096" s="746"/>
      <c r="C1096" s="1885" t="s">
        <v>277</v>
      </c>
      <c r="D1096" s="1886" t="s">
        <v>657</v>
      </c>
      <c r="E1096" s="1882">
        <v>75600</v>
      </c>
      <c r="F1096" s="1882">
        <v>0</v>
      </c>
      <c r="G1096" s="1883">
        <f t="shared" si="161"/>
        <v>0</v>
      </c>
    </row>
    <row r="1097" spans="1:7" ht="17.25" hidden="1" customHeight="1">
      <c r="A1097" s="548"/>
      <c r="B1097" s="746"/>
      <c r="C1097" s="2940"/>
      <c r="D1097" s="2941"/>
      <c r="E1097" s="1882"/>
      <c r="F1097" s="1882"/>
      <c r="G1097" s="1883"/>
    </row>
    <row r="1098" spans="1:7" ht="15" hidden="1" customHeight="1">
      <c r="A1098" s="548"/>
      <c r="B1098" s="746"/>
      <c r="C1098" s="2932" t="s">
        <v>523</v>
      </c>
      <c r="D1098" s="2933"/>
      <c r="E1098" s="1887">
        <f>E1099</f>
        <v>280000</v>
      </c>
      <c r="F1098" s="1887">
        <f t="shared" ref="F1098:F1099" si="172">F1099</f>
        <v>0</v>
      </c>
      <c r="G1098" s="1888">
        <f t="shared" si="161"/>
        <v>0</v>
      </c>
    </row>
    <row r="1099" spans="1:7" ht="18" hidden="1" customHeight="1">
      <c r="A1099" s="548"/>
      <c r="B1099" s="746"/>
      <c r="C1099" s="2928" t="s">
        <v>524</v>
      </c>
      <c r="D1099" s="2934"/>
      <c r="E1099" s="1875">
        <f>E1100</f>
        <v>280000</v>
      </c>
      <c r="F1099" s="1875">
        <f t="shared" si="172"/>
        <v>0</v>
      </c>
      <c r="G1099" s="1876">
        <f t="shared" si="161"/>
        <v>0</v>
      </c>
    </row>
    <row r="1100" spans="1:7" ht="42.75" hidden="1" customHeight="1" thickBot="1">
      <c r="A1100" s="548"/>
      <c r="B1100" s="746"/>
      <c r="C1100" s="1877" t="s">
        <v>642</v>
      </c>
      <c r="D1100" s="1878" t="s">
        <v>643</v>
      </c>
      <c r="E1100" s="612">
        <f>250000+30000</f>
        <v>280000</v>
      </c>
      <c r="F1100" s="612">
        <v>0</v>
      </c>
      <c r="G1100" s="1879">
        <f t="shared" si="161"/>
        <v>0</v>
      </c>
    </row>
    <row r="1101" spans="1:7" ht="17.100000000000001" customHeight="1" thickBot="1">
      <c r="A1101" s="548"/>
      <c r="B1101" s="559" t="s">
        <v>739</v>
      </c>
      <c r="C1101" s="560"/>
      <c r="D1101" s="561" t="s">
        <v>740</v>
      </c>
      <c r="E1101" s="613">
        <f t="shared" ref="E1101:F1103" si="173">E1102</f>
        <v>360000</v>
      </c>
      <c r="F1101" s="613">
        <f>F1102+F1105</f>
        <v>420000</v>
      </c>
      <c r="G1101" s="1880">
        <f t="shared" si="161"/>
        <v>1.1666666666666667</v>
      </c>
    </row>
    <row r="1102" spans="1:7" ht="17.100000000000001" customHeight="1">
      <c r="A1102" s="548"/>
      <c r="B1102" s="2771"/>
      <c r="C1102" s="2853" t="s">
        <v>470</v>
      </c>
      <c r="D1102" s="2853"/>
      <c r="E1102" s="614">
        <f t="shared" si="173"/>
        <v>360000</v>
      </c>
      <c r="F1102" s="614">
        <f t="shared" si="173"/>
        <v>360000</v>
      </c>
      <c r="G1102" s="1881">
        <f t="shared" si="161"/>
        <v>1</v>
      </c>
    </row>
    <row r="1103" spans="1:7" ht="17.100000000000001" customHeight="1">
      <c r="A1103" s="548"/>
      <c r="B1103" s="2771"/>
      <c r="C1103" s="2928" t="s">
        <v>567</v>
      </c>
      <c r="D1103" s="2928"/>
      <c r="E1103" s="1875">
        <f t="shared" si="173"/>
        <v>360000</v>
      </c>
      <c r="F1103" s="1875">
        <f t="shared" si="173"/>
        <v>360000</v>
      </c>
      <c r="G1103" s="1876">
        <f t="shared" si="161"/>
        <v>1</v>
      </c>
    </row>
    <row r="1104" spans="1:7" ht="63.75" customHeight="1">
      <c r="A1104" s="548"/>
      <c r="B1104" s="2771"/>
      <c r="C1104" s="1863" t="s">
        <v>582</v>
      </c>
      <c r="D1104" s="1864" t="s">
        <v>583</v>
      </c>
      <c r="E1104" s="1882">
        <v>360000</v>
      </c>
      <c r="F1104" s="1882">
        <v>360000</v>
      </c>
      <c r="G1104" s="1883">
        <f t="shared" si="161"/>
        <v>1</v>
      </c>
    </row>
    <row r="1105" spans="1:7">
      <c r="A1105" s="548"/>
      <c r="B1105" s="2488"/>
      <c r="C1105" s="2942" t="s">
        <v>523</v>
      </c>
      <c r="D1105" s="2943"/>
      <c r="E1105" s="2491">
        <f t="shared" ref="E1105:F1106" si="174">E1106</f>
        <v>722850</v>
      </c>
      <c r="F1105" s="2492">
        <f t="shared" si="174"/>
        <v>60000</v>
      </c>
      <c r="G1105" s="2489"/>
    </row>
    <row r="1106" spans="1:7" ht="15">
      <c r="A1106" s="548"/>
      <c r="B1106" s="2488"/>
      <c r="C1106" s="2852" t="s">
        <v>524</v>
      </c>
      <c r="D1106" s="2944"/>
      <c r="E1106" s="2490">
        <f t="shared" si="174"/>
        <v>722850</v>
      </c>
      <c r="F1106" s="2490">
        <f t="shared" si="174"/>
        <v>60000</v>
      </c>
      <c r="G1106" s="2158"/>
    </row>
    <row r="1107" spans="1:7" ht="51.75" thickBot="1">
      <c r="A1107" s="548"/>
      <c r="B1107" s="2488"/>
      <c r="C1107" s="1863" t="s">
        <v>857</v>
      </c>
      <c r="D1107" s="1864" t="s">
        <v>1268</v>
      </c>
      <c r="E1107" s="1882">
        <v>722850</v>
      </c>
      <c r="F1107" s="1882">
        <v>60000</v>
      </c>
      <c r="G1107" s="2158"/>
    </row>
    <row r="1108" spans="1:7" ht="17.100000000000001" customHeight="1" thickBot="1">
      <c r="A1108" s="545" t="s">
        <v>741</v>
      </c>
      <c r="B1108" s="565"/>
      <c r="C1108" s="566"/>
      <c r="D1108" s="567" t="s">
        <v>742</v>
      </c>
      <c r="E1108" s="616">
        <f t="shared" ref="E1108:F1108" si="175">E1109+E1113</f>
        <v>13510494</v>
      </c>
      <c r="F1108" s="616">
        <f t="shared" si="175"/>
        <v>19705773</v>
      </c>
      <c r="G1108" s="1889">
        <f t="shared" si="161"/>
        <v>1.4585531069404272</v>
      </c>
    </row>
    <row r="1109" spans="1:7" ht="30" customHeight="1" thickBot="1">
      <c r="A1109" s="548"/>
      <c r="B1109" s="559" t="s">
        <v>743</v>
      </c>
      <c r="C1109" s="560"/>
      <c r="D1109" s="617" t="s">
        <v>744</v>
      </c>
      <c r="E1109" s="618">
        <f t="shared" ref="E1109:F1111" si="176">E1110</f>
        <v>8754562</v>
      </c>
      <c r="F1109" s="618">
        <f t="shared" si="176"/>
        <v>7695593</v>
      </c>
      <c r="G1109" s="1890">
        <f t="shared" si="161"/>
        <v>0.87903803753974219</v>
      </c>
    </row>
    <row r="1110" spans="1:7" ht="17.100000000000001" customHeight="1">
      <c r="A1110" s="548"/>
      <c r="B1110" s="2771"/>
      <c r="C1110" s="2853" t="s">
        <v>470</v>
      </c>
      <c r="D1110" s="2927"/>
      <c r="E1110" s="1866">
        <f t="shared" si="176"/>
        <v>8754562</v>
      </c>
      <c r="F1110" s="1866">
        <f t="shared" si="176"/>
        <v>7695593</v>
      </c>
      <c r="G1110" s="1867">
        <f t="shared" si="161"/>
        <v>0.87903803753974219</v>
      </c>
    </row>
    <row r="1111" spans="1:7" ht="17.100000000000001" customHeight="1">
      <c r="A1111" s="548"/>
      <c r="B1111" s="2771"/>
      <c r="C1111" s="2899" t="s">
        <v>745</v>
      </c>
      <c r="D1111" s="2939"/>
      <c r="E1111" s="1868">
        <f t="shared" si="176"/>
        <v>8754562</v>
      </c>
      <c r="F1111" s="1868">
        <f t="shared" si="176"/>
        <v>7695593</v>
      </c>
      <c r="G1111" s="1869">
        <f t="shared" si="161"/>
        <v>0.87903803753974219</v>
      </c>
    </row>
    <row r="1112" spans="1:7" ht="27.75" customHeight="1" thickBot="1">
      <c r="A1112" s="548"/>
      <c r="B1112" s="2771"/>
      <c r="C1112" s="1863" t="s">
        <v>746</v>
      </c>
      <c r="D1112" s="1891" t="s">
        <v>747</v>
      </c>
      <c r="E1112" s="1892">
        <v>8754562</v>
      </c>
      <c r="F1112" s="1892">
        <v>7695593</v>
      </c>
      <c r="G1112" s="1893">
        <f t="shared" si="161"/>
        <v>0.87903803753974219</v>
      </c>
    </row>
    <row r="1113" spans="1:7" ht="26.25" customHeight="1" thickBot="1">
      <c r="A1113" s="548"/>
      <c r="B1113" s="559" t="s">
        <v>748</v>
      </c>
      <c r="C1113" s="560"/>
      <c r="D1113" s="617" t="s">
        <v>749</v>
      </c>
      <c r="E1113" s="618">
        <f t="shared" ref="E1113:F1115" si="177">E1114</f>
        <v>4755932</v>
      </c>
      <c r="F1113" s="618">
        <f t="shared" si="177"/>
        <v>12010180</v>
      </c>
      <c r="G1113" s="1890">
        <f t="shared" si="161"/>
        <v>2.5253052398562468</v>
      </c>
    </row>
    <row r="1114" spans="1:7" ht="17.100000000000001" customHeight="1">
      <c r="A1114" s="619"/>
      <c r="B1114" s="2771"/>
      <c r="C1114" s="2853" t="s">
        <v>470</v>
      </c>
      <c r="D1114" s="2927"/>
      <c r="E1114" s="1866">
        <f t="shared" si="177"/>
        <v>4755932</v>
      </c>
      <c r="F1114" s="1866">
        <f t="shared" si="177"/>
        <v>12010180</v>
      </c>
      <c r="G1114" s="1867">
        <f t="shared" si="161"/>
        <v>2.5253052398562468</v>
      </c>
    </row>
    <row r="1115" spans="1:7" ht="17.100000000000001" customHeight="1">
      <c r="A1115" s="619"/>
      <c r="B1115" s="2771"/>
      <c r="C1115" s="2899" t="s">
        <v>750</v>
      </c>
      <c r="D1115" s="2939"/>
      <c r="E1115" s="1868">
        <f t="shared" si="177"/>
        <v>4755932</v>
      </c>
      <c r="F1115" s="1868">
        <f t="shared" si="177"/>
        <v>12010180</v>
      </c>
      <c r="G1115" s="1869">
        <f t="shared" si="161"/>
        <v>2.5253052398562468</v>
      </c>
    </row>
    <row r="1116" spans="1:7" ht="17.100000000000001" customHeight="1" thickBot="1">
      <c r="A1116" s="548"/>
      <c r="B1116" s="2951"/>
      <c r="C1116" s="1877" t="s">
        <v>751</v>
      </c>
      <c r="D1116" s="1894" t="s">
        <v>752</v>
      </c>
      <c r="E1116" s="1895">
        <v>4755932</v>
      </c>
      <c r="F1116" s="1895">
        <v>12010180</v>
      </c>
      <c r="G1116" s="1896">
        <f t="shared" si="161"/>
        <v>2.5253052398562468</v>
      </c>
    </row>
    <row r="1117" spans="1:7" ht="17.100000000000001" customHeight="1" thickBot="1">
      <c r="A1117" s="545" t="s">
        <v>753</v>
      </c>
      <c r="B1117" s="546"/>
      <c r="C1117" s="1416"/>
      <c r="D1117" s="1897" t="s">
        <v>754</v>
      </c>
      <c r="E1117" s="1898">
        <f t="shared" ref="E1117:F1117" si="178">E1118</f>
        <v>30666328</v>
      </c>
      <c r="F1117" s="620">
        <f t="shared" si="178"/>
        <v>67250279</v>
      </c>
      <c r="G1117" s="1899">
        <f t="shared" si="161"/>
        <v>2.1929680984303044</v>
      </c>
    </row>
    <row r="1118" spans="1:7" ht="17.100000000000001" customHeight="1" thickBot="1">
      <c r="A1118" s="548"/>
      <c r="B1118" s="559" t="s">
        <v>755</v>
      </c>
      <c r="C1118" s="560"/>
      <c r="D1118" s="621" t="s">
        <v>756</v>
      </c>
      <c r="E1118" s="622">
        <f t="shared" ref="E1118:F1118" si="179">E1119+E1124</f>
        <v>30666328</v>
      </c>
      <c r="F1118" s="618">
        <f t="shared" si="179"/>
        <v>67250279</v>
      </c>
      <c r="G1118" s="1890">
        <f t="shared" si="161"/>
        <v>2.1929680984303044</v>
      </c>
    </row>
    <row r="1119" spans="1:7" ht="17.100000000000001" customHeight="1">
      <c r="A1119" s="548"/>
      <c r="B1119" s="2771"/>
      <c r="C1119" s="2853" t="s">
        <v>470</v>
      </c>
      <c r="D1119" s="2952"/>
      <c r="E1119" s="1900">
        <f t="shared" ref="E1119:F1121" si="180">E1120</f>
        <v>12946149</v>
      </c>
      <c r="F1119" s="1866">
        <f t="shared" si="180"/>
        <v>34750279</v>
      </c>
      <c r="G1119" s="1867">
        <f t="shared" si="161"/>
        <v>2.6842174456666612</v>
      </c>
    </row>
    <row r="1120" spans="1:7" ht="17.100000000000001" customHeight="1">
      <c r="A1120" s="548"/>
      <c r="B1120" s="2771"/>
      <c r="C1120" s="2899" t="s">
        <v>471</v>
      </c>
      <c r="D1120" s="2953"/>
      <c r="E1120" s="1901">
        <f t="shared" si="180"/>
        <v>12946149</v>
      </c>
      <c r="F1120" s="1868">
        <f t="shared" si="180"/>
        <v>34750279</v>
      </c>
      <c r="G1120" s="1869">
        <f t="shared" si="161"/>
        <v>2.6842174456666612</v>
      </c>
    </row>
    <row r="1121" spans="1:7" ht="17.100000000000001" customHeight="1">
      <c r="A1121" s="548"/>
      <c r="B1121" s="2771"/>
      <c r="C1121" s="2954" t="s">
        <v>483</v>
      </c>
      <c r="D1121" s="2955"/>
      <c r="E1121" s="1902">
        <f t="shared" si="180"/>
        <v>12946149</v>
      </c>
      <c r="F1121" s="1903">
        <f t="shared" si="180"/>
        <v>34750279</v>
      </c>
      <c r="G1121" s="1904">
        <f t="shared" si="161"/>
        <v>2.6842174456666612</v>
      </c>
    </row>
    <row r="1122" spans="1:7" ht="17.100000000000001" customHeight="1">
      <c r="A1122" s="548"/>
      <c r="B1122" s="2771"/>
      <c r="C1122" s="1863" t="s">
        <v>757</v>
      </c>
      <c r="D1122" s="1905" t="s">
        <v>758</v>
      </c>
      <c r="E1122" s="1906">
        <v>12946149</v>
      </c>
      <c r="F1122" s="1892">
        <f>35060279-310000</f>
        <v>34750279</v>
      </c>
      <c r="G1122" s="1893">
        <f t="shared" si="161"/>
        <v>2.6842174456666612</v>
      </c>
    </row>
    <row r="1123" spans="1:7" ht="17.100000000000001" customHeight="1">
      <c r="A1123" s="548"/>
      <c r="B1123" s="2771"/>
      <c r="C1123" s="1907"/>
      <c r="D1123" s="1908"/>
      <c r="E1123" s="1908"/>
      <c r="F1123" s="1908"/>
      <c r="G1123" s="1909"/>
    </row>
    <row r="1124" spans="1:7" ht="17.100000000000001" customHeight="1">
      <c r="A1124" s="548"/>
      <c r="B1124" s="2771"/>
      <c r="C1124" s="2879" t="s">
        <v>523</v>
      </c>
      <c r="D1124" s="2956"/>
      <c r="E1124" s="1900">
        <f t="shared" ref="E1124:F1125" si="181">E1125</f>
        <v>17720179</v>
      </c>
      <c r="F1124" s="1866">
        <f t="shared" si="181"/>
        <v>32500000</v>
      </c>
      <c r="G1124" s="1867">
        <f t="shared" si="161"/>
        <v>1.8340672518037204</v>
      </c>
    </row>
    <row r="1125" spans="1:7" ht="17.100000000000001" customHeight="1">
      <c r="A1125" s="548"/>
      <c r="B1125" s="2771"/>
      <c r="C1125" s="2928" t="s">
        <v>524</v>
      </c>
      <c r="D1125" s="2957"/>
      <c r="E1125" s="1901">
        <f t="shared" si="181"/>
        <v>17720179</v>
      </c>
      <c r="F1125" s="1868">
        <f t="shared" si="181"/>
        <v>32500000</v>
      </c>
      <c r="G1125" s="1869">
        <f t="shared" si="161"/>
        <v>1.8340672518037204</v>
      </c>
    </row>
    <row r="1126" spans="1:7" ht="17.100000000000001" customHeight="1" thickBot="1">
      <c r="A1126" s="548"/>
      <c r="B1126" s="2951"/>
      <c r="C1126" s="623" t="s">
        <v>759</v>
      </c>
      <c r="D1126" s="1910" t="s">
        <v>760</v>
      </c>
      <c r="E1126" s="1906">
        <v>17720179</v>
      </c>
      <c r="F1126" s="1892">
        <v>32500000</v>
      </c>
      <c r="G1126" s="1893">
        <f t="shared" si="161"/>
        <v>1.8340672518037204</v>
      </c>
    </row>
    <row r="1127" spans="1:7" ht="13.5" thickBot="1">
      <c r="A1127" s="545" t="s">
        <v>761</v>
      </c>
      <c r="B1127" s="546"/>
      <c r="C1127" s="1911"/>
      <c r="D1127" s="1912" t="s">
        <v>762</v>
      </c>
      <c r="E1127" s="547">
        <f>SUM(E1128,E1132,E1166,E1188,E1205,E1260,E1327,E1394,E1378,E1183,E1162)</f>
        <v>56333927</v>
      </c>
      <c r="F1127" s="547">
        <f>SUM(F1128,F1132,F1166,F1188,F1205,F1260,F1327,F1394,F1378,F1183,F1162)</f>
        <v>53371813</v>
      </c>
      <c r="G1127" s="1418">
        <f t="shared" si="161"/>
        <v>0.94741864880110349</v>
      </c>
    </row>
    <row r="1128" spans="1:7" ht="17.25" hidden="1" customHeight="1" thickBot="1">
      <c r="A1128" s="588"/>
      <c r="B1128" s="559" t="s">
        <v>763</v>
      </c>
      <c r="C1128" s="560"/>
      <c r="D1128" s="561" t="s">
        <v>764</v>
      </c>
      <c r="E1128" s="562">
        <f>E1129</f>
        <v>0</v>
      </c>
      <c r="F1128" s="562">
        <f t="shared" ref="F1128:F1130" si="182">F1129</f>
        <v>0</v>
      </c>
      <c r="G1128" s="1478" t="e">
        <f t="shared" si="161"/>
        <v>#DIV/0!</v>
      </c>
    </row>
    <row r="1129" spans="1:7" ht="15" hidden="1" customHeight="1">
      <c r="A1129" s="588"/>
      <c r="B1129" s="2945"/>
      <c r="C1129" s="2879" t="s">
        <v>523</v>
      </c>
      <c r="D1129" s="2948"/>
      <c r="E1129" s="590">
        <f>E1130</f>
        <v>0</v>
      </c>
      <c r="F1129" s="590">
        <f t="shared" si="182"/>
        <v>0</v>
      </c>
      <c r="G1129" s="1641" t="e">
        <f t="shared" si="161"/>
        <v>#DIV/0!</v>
      </c>
    </row>
    <row r="1130" spans="1:7" ht="18" hidden="1" customHeight="1">
      <c r="A1130" s="588"/>
      <c r="B1130" s="2946"/>
      <c r="C1130" s="2928" t="s">
        <v>524</v>
      </c>
      <c r="D1130" s="2949"/>
      <c r="E1130" s="1913">
        <f>E1131</f>
        <v>0</v>
      </c>
      <c r="F1130" s="1913">
        <f t="shared" si="182"/>
        <v>0</v>
      </c>
      <c r="G1130" s="1914" t="e">
        <f t="shared" si="161"/>
        <v>#DIV/0!</v>
      </c>
    </row>
    <row r="1131" spans="1:7" ht="43.5" hidden="1" customHeight="1" thickBot="1">
      <c r="A1131" s="588"/>
      <c r="B1131" s="2947"/>
      <c r="C1131" s="555" t="s">
        <v>642</v>
      </c>
      <c r="D1131" s="1915" t="s">
        <v>643</v>
      </c>
      <c r="E1131" s="583"/>
      <c r="F1131" s="583">
        <v>0</v>
      </c>
      <c r="G1131" s="1609" t="e">
        <f t="shared" si="161"/>
        <v>#DIV/0!</v>
      </c>
    </row>
    <row r="1132" spans="1:7" ht="17.100000000000001" customHeight="1" thickBot="1">
      <c r="A1132" s="624"/>
      <c r="B1132" s="559" t="s">
        <v>765</v>
      </c>
      <c r="C1132" s="560"/>
      <c r="D1132" s="561" t="s">
        <v>375</v>
      </c>
      <c r="E1132" s="562">
        <f>E1133+E1159</f>
        <v>5773252</v>
      </c>
      <c r="F1132" s="562">
        <f t="shared" ref="F1132" si="183">F1133+F1159</f>
        <v>8082396</v>
      </c>
      <c r="G1132" s="1478">
        <f t="shared" si="161"/>
        <v>1.3999728402640315</v>
      </c>
    </row>
    <row r="1133" spans="1:7" ht="17.100000000000001" customHeight="1">
      <c r="A1133" s="548"/>
      <c r="B1133" s="746"/>
      <c r="C1133" s="2853" t="s">
        <v>470</v>
      </c>
      <c r="D1133" s="2853"/>
      <c r="E1133" s="549">
        <f>E1134+E1156</f>
        <v>5773252</v>
      </c>
      <c r="F1133" s="549">
        <f t="shared" ref="F1133" si="184">F1134+F1156</f>
        <v>8082396</v>
      </c>
      <c r="G1133" s="1424">
        <f t="shared" si="161"/>
        <v>1.3999728402640315</v>
      </c>
    </row>
    <row r="1134" spans="1:7" ht="17.100000000000001" customHeight="1">
      <c r="A1134" s="548"/>
      <c r="B1134" s="746"/>
      <c r="C1134" s="2899" t="s">
        <v>471</v>
      </c>
      <c r="D1134" s="2899"/>
      <c r="E1134" s="1436">
        <f t="shared" ref="E1134:F1134" si="185">E1135+E1142</f>
        <v>5633984</v>
      </c>
      <c r="F1134" s="1436">
        <f t="shared" si="185"/>
        <v>7964379</v>
      </c>
      <c r="G1134" s="1437">
        <f t="shared" si="161"/>
        <v>1.4136318101009873</v>
      </c>
    </row>
    <row r="1135" spans="1:7" ht="17.100000000000001" customHeight="1">
      <c r="A1135" s="548"/>
      <c r="B1135" s="746"/>
      <c r="C1135" s="2950" t="s">
        <v>472</v>
      </c>
      <c r="D1135" s="2950"/>
      <c r="E1135" s="1461">
        <f t="shared" ref="E1135:F1135" si="186">SUM(E1136:E1140)</f>
        <v>5256562</v>
      </c>
      <c r="F1135" s="1461">
        <f t="shared" si="186"/>
        <v>7519965</v>
      </c>
      <c r="G1135" s="1462">
        <f t="shared" si="161"/>
        <v>1.4305861892240594</v>
      </c>
    </row>
    <row r="1136" spans="1:7" ht="17.100000000000001" customHeight="1">
      <c r="A1136" s="548"/>
      <c r="B1136" s="746"/>
      <c r="C1136" s="1824" t="s">
        <v>473</v>
      </c>
      <c r="D1136" s="1696" t="s">
        <v>474</v>
      </c>
      <c r="E1136" s="1436">
        <v>4059622</v>
      </c>
      <c r="F1136" s="1436">
        <v>5775990</v>
      </c>
      <c r="G1136" s="1437">
        <f t="shared" si="161"/>
        <v>1.4227901021326617</v>
      </c>
    </row>
    <row r="1137" spans="1:7" ht="17.100000000000001" customHeight="1">
      <c r="A1137" s="548"/>
      <c r="B1137" s="746"/>
      <c r="C1137" s="1824" t="s">
        <v>475</v>
      </c>
      <c r="D1137" s="1696" t="s">
        <v>476</v>
      </c>
      <c r="E1137" s="1436">
        <v>315420</v>
      </c>
      <c r="F1137" s="1436">
        <v>468610</v>
      </c>
      <c r="G1137" s="1437">
        <f t="shared" si="161"/>
        <v>1.4856699004501934</v>
      </c>
    </row>
    <row r="1138" spans="1:7" ht="17.100000000000001" customHeight="1">
      <c r="A1138" s="548"/>
      <c r="B1138" s="746"/>
      <c r="C1138" s="1824" t="s">
        <v>477</v>
      </c>
      <c r="D1138" s="1696" t="s">
        <v>478</v>
      </c>
      <c r="E1138" s="1436">
        <v>764553</v>
      </c>
      <c r="F1138" s="1436">
        <v>1113658</v>
      </c>
      <c r="G1138" s="1437">
        <f t="shared" si="161"/>
        <v>1.456613210594949</v>
      </c>
    </row>
    <row r="1139" spans="1:7" ht="17.100000000000001" customHeight="1">
      <c r="A1139" s="548"/>
      <c r="B1139" s="746"/>
      <c r="C1139" s="1824" t="s">
        <v>479</v>
      </c>
      <c r="D1139" s="1696" t="s">
        <v>480</v>
      </c>
      <c r="E1139" s="1436">
        <v>109167</v>
      </c>
      <c r="F1139" s="1436">
        <v>153907</v>
      </c>
      <c r="G1139" s="1437">
        <f t="shared" si="161"/>
        <v>1.409830809676917</v>
      </c>
    </row>
    <row r="1140" spans="1:7" ht="17.100000000000001" customHeight="1">
      <c r="A1140" s="548"/>
      <c r="B1140" s="746"/>
      <c r="C1140" s="1824" t="s">
        <v>481</v>
      </c>
      <c r="D1140" s="1696" t="s">
        <v>766</v>
      </c>
      <c r="E1140" s="1436">
        <v>7800</v>
      </c>
      <c r="F1140" s="1436">
        <v>7800</v>
      </c>
      <c r="G1140" s="1437">
        <f t="shared" si="161"/>
        <v>1</v>
      </c>
    </row>
    <row r="1141" spans="1:7" ht="17.100000000000001" customHeight="1">
      <c r="A1141" s="548"/>
      <c r="B1141" s="746"/>
      <c r="C1141" s="553"/>
      <c r="D1141" s="553"/>
      <c r="E1141" s="550"/>
      <c r="F1141" s="550"/>
      <c r="G1141" s="1433"/>
    </row>
    <row r="1142" spans="1:7" ht="17.100000000000001" customHeight="1">
      <c r="A1142" s="548"/>
      <c r="B1142" s="746"/>
      <c r="C1142" s="2954" t="s">
        <v>483</v>
      </c>
      <c r="D1142" s="2954"/>
      <c r="E1142" s="1461">
        <f>SUM(E1143:E1154)</f>
        <v>377422</v>
      </c>
      <c r="F1142" s="1461">
        <f t="shared" ref="F1142" si="187">SUM(F1143:F1154)</f>
        <v>444414</v>
      </c>
      <c r="G1142" s="1462">
        <f t="shared" si="161"/>
        <v>1.1774989269305975</v>
      </c>
    </row>
    <row r="1143" spans="1:7" ht="17.100000000000001" customHeight="1">
      <c r="A1143" s="548"/>
      <c r="B1143" s="746"/>
      <c r="C1143" s="1824" t="s">
        <v>486</v>
      </c>
      <c r="D1143" s="1696" t="s">
        <v>487</v>
      </c>
      <c r="E1143" s="1436">
        <v>16079</v>
      </c>
      <c r="F1143" s="1436">
        <v>19056</v>
      </c>
      <c r="G1143" s="1437">
        <f t="shared" ref="G1143:G1206" si="188">F1143/E1143</f>
        <v>1.1851483301200323</v>
      </c>
    </row>
    <row r="1144" spans="1:7" ht="17.100000000000001" customHeight="1">
      <c r="A1144" s="548"/>
      <c r="B1144" s="746"/>
      <c r="C1144" s="1824" t="s">
        <v>663</v>
      </c>
      <c r="D1144" s="1696" t="s">
        <v>664</v>
      </c>
      <c r="E1144" s="1436">
        <v>6914</v>
      </c>
      <c r="F1144" s="1436">
        <v>9283</v>
      </c>
      <c r="G1144" s="1437">
        <f t="shared" si="188"/>
        <v>1.3426381255423778</v>
      </c>
    </row>
    <row r="1145" spans="1:7" ht="17.100000000000001" customHeight="1">
      <c r="A1145" s="548"/>
      <c r="B1145" s="746"/>
      <c r="C1145" s="1824" t="s">
        <v>490</v>
      </c>
      <c r="D1145" s="1696" t="s">
        <v>491</v>
      </c>
      <c r="E1145" s="1436">
        <v>26400</v>
      </c>
      <c r="F1145" s="1436">
        <v>26400</v>
      </c>
      <c r="G1145" s="1437">
        <f t="shared" si="188"/>
        <v>1</v>
      </c>
    </row>
    <row r="1146" spans="1:7" ht="17.100000000000001" customHeight="1">
      <c r="A1146" s="548"/>
      <c r="B1146" s="746"/>
      <c r="C1146" s="1824" t="s">
        <v>492</v>
      </c>
      <c r="D1146" s="1696" t="s">
        <v>493</v>
      </c>
      <c r="E1146" s="1436">
        <v>3600</v>
      </c>
      <c r="F1146" s="1436">
        <v>3600</v>
      </c>
      <c r="G1146" s="1437">
        <f t="shared" si="188"/>
        <v>1</v>
      </c>
    </row>
    <row r="1147" spans="1:7" ht="17.100000000000001" customHeight="1">
      <c r="A1147" s="548"/>
      <c r="B1147" s="746"/>
      <c r="C1147" s="1863" t="s">
        <v>494</v>
      </c>
      <c r="D1147" s="1864" t="s">
        <v>495</v>
      </c>
      <c r="E1147" s="1436">
        <v>6275</v>
      </c>
      <c r="F1147" s="1436">
        <v>4096</v>
      </c>
      <c r="G1147" s="1437">
        <f t="shared" si="188"/>
        <v>0.65274900398406377</v>
      </c>
    </row>
    <row r="1148" spans="1:7" ht="17.100000000000001" customHeight="1">
      <c r="A1148" s="548"/>
      <c r="B1148" s="746"/>
      <c r="C1148" s="1621" t="s">
        <v>496</v>
      </c>
      <c r="D1148" s="1673" t="s">
        <v>497</v>
      </c>
      <c r="E1148" s="1436">
        <v>20676</v>
      </c>
      <c r="F1148" s="1436">
        <v>23376</v>
      </c>
      <c r="G1148" s="1437">
        <f t="shared" si="188"/>
        <v>1.1305861868833431</v>
      </c>
    </row>
    <row r="1149" spans="1:7" ht="16.5" customHeight="1">
      <c r="A1149" s="548"/>
      <c r="B1149" s="746"/>
      <c r="C1149" s="1668" t="s">
        <v>498</v>
      </c>
      <c r="D1149" s="1669" t="s">
        <v>499</v>
      </c>
      <c r="E1149" s="1436">
        <v>7723</v>
      </c>
      <c r="F1149" s="1436">
        <v>7923</v>
      </c>
      <c r="G1149" s="1437">
        <f t="shared" si="188"/>
        <v>1.0258966722776124</v>
      </c>
    </row>
    <row r="1150" spans="1:7" ht="24.75" customHeight="1">
      <c r="A1150" s="548"/>
      <c r="B1150" s="746"/>
      <c r="C1150" s="1824" t="s">
        <v>502</v>
      </c>
      <c r="D1150" s="1696" t="s">
        <v>503</v>
      </c>
      <c r="E1150" s="1436">
        <v>78146</v>
      </c>
      <c r="F1150" s="1436">
        <v>78387</v>
      </c>
      <c r="G1150" s="1437">
        <f t="shared" si="188"/>
        <v>1.0030839710285875</v>
      </c>
    </row>
    <row r="1151" spans="1:7" ht="17.100000000000001" customHeight="1">
      <c r="A1151" s="548"/>
      <c r="B1151" s="746"/>
      <c r="C1151" s="1824" t="s">
        <v>504</v>
      </c>
      <c r="D1151" s="1696" t="s">
        <v>505</v>
      </c>
      <c r="E1151" s="1436">
        <v>3225</v>
      </c>
      <c r="F1151" s="1436">
        <v>3225</v>
      </c>
      <c r="G1151" s="1437">
        <f t="shared" si="188"/>
        <v>1</v>
      </c>
    </row>
    <row r="1152" spans="1:7" ht="17.100000000000001" customHeight="1">
      <c r="A1152" s="548"/>
      <c r="B1152" s="746"/>
      <c r="C1152" s="1824" t="s">
        <v>508</v>
      </c>
      <c r="D1152" s="1696" t="s">
        <v>509</v>
      </c>
      <c r="E1152" s="1436">
        <v>202050</v>
      </c>
      <c r="F1152" s="1436">
        <v>265656</v>
      </c>
      <c r="G1152" s="1437">
        <f t="shared" si="188"/>
        <v>1.3148032665181886</v>
      </c>
    </row>
    <row r="1153" spans="1:7" ht="17.100000000000001" hidden="1" customHeight="1">
      <c r="A1153" s="548"/>
      <c r="B1153" s="746"/>
      <c r="C1153" s="1824" t="s">
        <v>580</v>
      </c>
      <c r="D1153" s="1696" t="s">
        <v>581</v>
      </c>
      <c r="E1153" s="1436">
        <v>2836</v>
      </c>
      <c r="F1153" s="1436">
        <v>0</v>
      </c>
      <c r="G1153" s="1437">
        <f t="shared" si="188"/>
        <v>0</v>
      </c>
    </row>
    <row r="1154" spans="1:7" ht="17.100000000000001" customHeight="1">
      <c r="A1154" s="548"/>
      <c r="B1154" s="2888"/>
      <c r="C1154" s="1824" t="s">
        <v>518</v>
      </c>
      <c r="D1154" s="1696" t="s">
        <v>519</v>
      </c>
      <c r="E1154" s="1436">
        <v>3498</v>
      </c>
      <c r="F1154" s="1436">
        <v>3412</v>
      </c>
      <c r="G1154" s="1437">
        <f t="shared" si="188"/>
        <v>0.97541452258433392</v>
      </c>
    </row>
    <row r="1155" spans="1:7" ht="17.100000000000001" customHeight="1">
      <c r="A1155" s="548"/>
      <c r="B1155" s="2888"/>
      <c r="C1155" s="553"/>
      <c r="D1155" s="553"/>
      <c r="E1155" s="550"/>
      <c r="F1155" s="550"/>
      <c r="G1155" s="1433"/>
    </row>
    <row r="1156" spans="1:7" ht="17.100000000000001" customHeight="1">
      <c r="A1156" s="548"/>
      <c r="B1156" s="2888"/>
      <c r="C1156" s="2928" t="s">
        <v>711</v>
      </c>
      <c r="D1156" s="2928"/>
      <c r="E1156" s="1436">
        <f t="shared" ref="E1156:F1156" si="189">E1157</f>
        <v>139268</v>
      </c>
      <c r="F1156" s="1436">
        <f t="shared" si="189"/>
        <v>118017</v>
      </c>
      <c r="G1156" s="1437">
        <f t="shared" si="188"/>
        <v>0.84740931154321164</v>
      </c>
    </row>
    <row r="1157" spans="1:7" ht="17.100000000000001" customHeight="1" thickBot="1">
      <c r="A1157" s="548"/>
      <c r="B1157" s="2888"/>
      <c r="C1157" s="1863" t="s">
        <v>521</v>
      </c>
      <c r="D1157" s="1864" t="s">
        <v>522</v>
      </c>
      <c r="E1157" s="1865">
        <v>139268</v>
      </c>
      <c r="F1157" s="1865">
        <v>118017</v>
      </c>
      <c r="G1157" s="1827">
        <f t="shared" si="188"/>
        <v>0.84740931154321164</v>
      </c>
    </row>
    <row r="1158" spans="1:7" ht="17.100000000000001" hidden="1" customHeight="1">
      <c r="A1158" s="548"/>
      <c r="B1158" s="746"/>
      <c r="C1158" s="1916"/>
      <c r="D1158" s="1917"/>
      <c r="E1158" s="1436"/>
      <c r="F1158" s="1436"/>
      <c r="G1158" s="1437"/>
    </row>
    <row r="1159" spans="1:7" ht="17.100000000000001" hidden="1" customHeight="1">
      <c r="A1159" s="548"/>
      <c r="B1159" s="746"/>
      <c r="C1159" s="2958" t="s">
        <v>523</v>
      </c>
      <c r="D1159" s="2959"/>
      <c r="E1159" s="1650">
        <f t="shared" ref="E1159:F1159" si="190">E1160</f>
        <v>0</v>
      </c>
      <c r="F1159" s="1650">
        <f t="shared" si="190"/>
        <v>0</v>
      </c>
      <c r="G1159" s="1485" t="e">
        <f t="shared" si="188"/>
        <v>#DIV/0!</v>
      </c>
    </row>
    <row r="1160" spans="1:7" ht="17.100000000000001" hidden="1" customHeight="1">
      <c r="A1160" s="548"/>
      <c r="B1160" s="746"/>
      <c r="C1160" s="2960" t="s">
        <v>524</v>
      </c>
      <c r="D1160" s="2910"/>
      <c r="E1160" s="1651">
        <f>SUM(E1161)</f>
        <v>0</v>
      </c>
      <c r="F1160" s="1651">
        <f t="shared" ref="F1160" si="191">SUM(F1161)</f>
        <v>0</v>
      </c>
      <c r="G1160" s="1437" t="e">
        <f t="shared" si="188"/>
        <v>#DIV/0!</v>
      </c>
    </row>
    <row r="1161" spans="1:7" ht="15.75" hidden="1" customHeight="1" thickBot="1">
      <c r="A1161" s="548"/>
      <c r="B1161" s="746"/>
      <c r="C1161" s="1863" t="s">
        <v>525</v>
      </c>
      <c r="D1161" s="1864" t="s">
        <v>571</v>
      </c>
      <c r="E1161" s="1918"/>
      <c r="F1161" s="1918">
        <v>0</v>
      </c>
      <c r="G1161" s="1827" t="e">
        <f t="shared" si="188"/>
        <v>#DIV/0!</v>
      </c>
    </row>
    <row r="1162" spans="1:7" ht="15.75" hidden="1" customHeight="1" thickBot="1">
      <c r="A1162" s="548"/>
      <c r="B1162" s="559" t="s">
        <v>1062</v>
      </c>
      <c r="C1162" s="560"/>
      <c r="D1162" s="561" t="s">
        <v>1063</v>
      </c>
      <c r="E1162" s="562">
        <f t="shared" ref="E1162:F1162" si="192">E1163</f>
        <v>10000</v>
      </c>
      <c r="F1162" s="562">
        <f t="shared" si="192"/>
        <v>0</v>
      </c>
      <c r="G1162" s="1478">
        <f t="shared" si="188"/>
        <v>0</v>
      </c>
    </row>
    <row r="1163" spans="1:7" ht="15.75" hidden="1" customHeight="1">
      <c r="A1163" s="548"/>
      <c r="B1163" s="746"/>
      <c r="C1163" s="2853" t="s">
        <v>523</v>
      </c>
      <c r="D1163" s="2853"/>
      <c r="E1163" s="549">
        <f>E1164</f>
        <v>10000</v>
      </c>
      <c r="F1163" s="549">
        <f t="shared" ref="F1163" si="193">F1164+F1177</f>
        <v>0</v>
      </c>
      <c r="G1163" s="1424">
        <f t="shared" si="188"/>
        <v>0</v>
      </c>
    </row>
    <row r="1164" spans="1:7" ht="15.75" hidden="1" customHeight="1">
      <c r="A1164" s="548"/>
      <c r="B1164" s="746"/>
      <c r="C1164" s="2928" t="s">
        <v>524</v>
      </c>
      <c r="D1164" s="2934"/>
      <c r="E1164" s="594">
        <f>E1165</f>
        <v>10000</v>
      </c>
      <c r="F1164" s="594">
        <f>F1165</f>
        <v>0</v>
      </c>
      <c r="G1164" s="1497">
        <f t="shared" si="188"/>
        <v>0</v>
      </c>
    </row>
    <row r="1165" spans="1:7" ht="42" hidden="1" customHeight="1" thickBot="1">
      <c r="A1165" s="548"/>
      <c r="B1165" s="746"/>
      <c r="C1165" s="1877" t="s">
        <v>642</v>
      </c>
      <c r="D1165" s="1878" t="s">
        <v>643</v>
      </c>
      <c r="E1165" s="598">
        <v>10000</v>
      </c>
      <c r="F1165" s="598">
        <v>0</v>
      </c>
      <c r="G1165" s="1497">
        <f t="shared" si="188"/>
        <v>0</v>
      </c>
    </row>
    <row r="1166" spans="1:7" ht="17.100000000000001" hidden="1" customHeight="1" thickBot="1">
      <c r="A1166" s="548"/>
      <c r="B1166" s="559" t="s">
        <v>767</v>
      </c>
      <c r="C1166" s="560"/>
      <c r="D1166" s="561" t="s">
        <v>768</v>
      </c>
      <c r="E1166" s="562">
        <f>E1167</f>
        <v>2092885</v>
      </c>
      <c r="F1166" s="562">
        <f t="shared" ref="F1166" si="194">F1167</f>
        <v>0</v>
      </c>
      <c r="G1166" s="1478">
        <f t="shared" si="188"/>
        <v>0</v>
      </c>
    </row>
    <row r="1167" spans="1:7" ht="17.100000000000001" hidden="1" customHeight="1">
      <c r="A1167" s="548"/>
      <c r="B1167" s="2888"/>
      <c r="C1167" s="2853" t="s">
        <v>470</v>
      </c>
      <c r="D1167" s="2853"/>
      <c r="E1167" s="549">
        <f>E1168+E1181</f>
        <v>2092885</v>
      </c>
      <c r="F1167" s="549">
        <f t="shared" ref="F1167" si="195">F1168+F1181</f>
        <v>0</v>
      </c>
      <c r="G1167" s="1424">
        <f t="shared" si="188"/>
        <v>0</v>
      </c>
    </row>
    <row r="1168" spans="1:7" ht="17.100000000000001" hidden="1" customHeight="1">
      <c r="A1168" s="548"/>
      <c r="B1168" s="2888"/>
      <c r="C1168" s="2899" t="s">
        <v>471</v>
      </c>
      <c r="D1168" s="2899"/>
      <c r="E1168" s="1436">
        <f>E1169+E1175</f>
        <v>2064805</v>
      </c>
      <c r="F1168" s="1436">
        <f t="shared" ref="F1168" si="196">F1169+F1175</f>
        <v>0</v>
      </c>
      <c r="G1168" s="1437">
        <f t="shared" si="188"/>
        <v>0</v>
      </c>
    </row>
    <row r="1169" spans="1:7" ht="17.100000000000001" hidden="1" customHeight="1">
      <c r="A1169" s="548"/>
      <c r="B1169" s="2888"/>
      <c r="C1169" s="2950" t="s">
        <v>472</v>
      </c>
      <c r="D1169" s="2950"/>
      <c r="E1169" s="1461">
        <f>SUM(E1170:E1173)</f>
        <v>1979580</v>
      </c>
      <c r="F1169" s="1461">
        <f t="shared" ref="F1169" si="197">SUM(F1170:F1173)</f>
        <v>0</v>
      </c>
      <c r="G1169" s="1462">
        <f t="shared" si="188"/>
        <v>0</v>
      </c>
    </row>
    <row r="1170" spans="1:7" ht="17.100000000000001" hidden="1" customHeight="1">
      <c r="A1170" s="548"/>
      <c r="B1170" s="2888"/>
      <c r="C1170" s="1824" t="s">
        <v>473</v>
      </c>
      <c r="D1170" s="1696" t="s">
        <v>474</v>
      </c>
      <c r="E1170" s="1436">
        <v>1505512</v>
      </c>
      <c r="F1170" s="1436">
        <v>0</v>
      </c>
      <c r="G1170" s="1437">
        <f t="shared" si="188"/>
        <v>0</v>
      </c>
    </row>
    <row r="1171" spans="1:7" ht="17.100000000000001" hidden="1" customHeight="1">
      <c r="A1171" s="548"/>
      <c r="B1171" s="2888"/>
      <c r="C1171" s="1824" t="s">
        <v>475</v>
      </c>
      <c r="D1171" s="1696" t="s">
        <v>476</v>
      </c>
      <c r="E1171" s="1436">
        <v>123461</v>
      </c>
      <c r="F1171" s="1436">
        <v>0</v>
      </c>
      <c r="G1171" s="1437">
        <f t="shared" si="188"/>
        <v>0</v>
      </c>
    </row>
    <row r="1172" spans="1:7" ht="17.100000000000001" hidden="1" customHeight="1">
      <c r="A1172" s="548"/>
      <c r="B1172" s="2888"/>
      <c r="C1172" s="1824" t="s">
        <v>477</v>
      </c>
      <c r="D1172" s="1696" t="s">
        <v>478</v>
      </c>
      <c r="E1172" s="1436">
        <v>309155</v>
      </c>
      <c r="F1172" s="1436">
        <v>0</v>
      </c>
      <c r="G1172" s="1437">
        <f t="shared" si="188"/>
        <v>0</v>
      </c>
    </row>
    <row r="1173" spans="1:7" ht="27" hidden="1" customHeight="1">
      <c r="A1173" s="548"/>
      <c r="B1173" s="2888"/>
      <c r="C1173" s="1824" t="s">
        <v>479</v>
      </c>
      <c r="D1173" s="1696" t="s">
        <v>1028</v>
      </c>
      <c r="E1173" s="1436">
        <v>41452</v>
      </c>
      <c r="F1173" s="1436">
        <v>0</v>
      </c>
      <c r="G1173" s="1437">
        <f t="shared" si="188"/>
        <v>0</v>
      </c>
    </row>
    <row r="1174" spans="1:7" ht="17.100000000000001" hidden="1" customHeight="1">
      <c r="A1174" s="548"/>
      <c r="B1174" s="2888"/>
      <c r="C1174" s="553"/>
      <c r="D1174" s="553"/>
      <c r="E1174" s="550"/>
      <c r="F1174" s="550"/>
      <c r="G1174" s="1433"/>
    </row>
    <row r="1175" spans="1:7" ht="17.100000000000001" hidden="1" customHeight="1">
      <c r="A1175" s="548"/>
      <c r="B1175" s="2888"/>
      <c r="C1175" s="2954" t="s">
        <v>483</v>
      </c>
      <c r="D1175" s="2954"/>
      <c r="E1175" s="1461">
        <f>SUM(E1176:E1179)</f>
        <v>85225</v>
      </c>
      <c r="F1175" s="1461">
        <f>SUM(F1176:F1179)</f>
        <v>0</v>
      </c>
      <c r="G1175" s="1462">
        <f t="shared" si="188"/>
        <v>0</v>
      </c>
    </row>
    <row r="1176" spans="1:7" ht="17.100000000000001" hidden="1" customHeight="1">
      <c r="A1176" s="548"/>
      <c r="B1176" s="2888"/>
      <c r="C1176" s="1824" t="s">
        <v>486</v>
      </c>
      <c r="D1176" s="1696" t="s">
        <v>487</v>
      </c>
      <c r="E1176" s="1436">
        <v>2977</v>
      </c>
      <c r="F1176" s="1436">
        <v>0</v>
      </c>
      <c r="G1176" s="1437">
        <f t="shared" si="188"/>
        <v>0</v>
      </c>
    </row>
    <row r="1177" spans="1:7" ht="17.100000000000001" hidden="1" customHeight="1">
      <c r="A1177" s="548"/>
      <c r="B1177" s="2888"/>
      <c r="C1177" s="1824" t="s">
        <v>663</v>
      </c>
      <c r="D1177" s="1696" t="s">
        <v>664</v>
      </c>
      <c r="E1177" s="1436">
        <v>2369</v>
      </c>
      <c r="F1177" s="1436">
        <v>0</v>
      </c>
      <c r="G1177" s="1437">
        <f t="shared" si="188"/>
        <v>0</v>
      </c>
    </row>
    <row r="1178" spans="1:7" ht="17.100000000000001" hidden="1" customHeight="1">
      <c r="A1178" s="548"/>
      <c r="B1178" s="2888"/>
      <c r="C1178" s="1824" t="s">
        <v>494</v>
      </c>
      <c r="D1178" s="1696" t="s">
        <v>495</v>
      </c>
      <c r="E1178" s="1436">
        <v>1009</v>
      </c>
      <c r="F1178" s="1436">
        <v>0</v>
      </c>
      <c r="G1178" s="1437">
        <f t="shared" si="188"/>
        <v>0</v>
      </c>
    </row>
    <row r="1179" spans="1:7" ht="17.100000000000001" hidden="1" customHeight="1">
      <c r="A1179" s="548"/>
      <c r="B1179" s="2888"/>
      <c r="C1179" s="1824" t="s">
        <v>508</v>
      </c>
      <c r="D1179" s="1696" t="s">
        <v>509</v>
      </c>
      <c r="E1179" s="1436">
        <v>78870</v>
      </c>
      <c r="F1179" s="1436">
        <v>0</v>
      </c>
      <c r="G1179" s="1437">
        <f t="shared" si="188"/>
        <v>0</v>
      </c>
    </row>
    <row r="1180" spans="1:7" ht="17.100000000000001" hidden="1" customHeight="1">
      <c r="A1180" s="548"/>
      <c r="B1180" s="2888"/>
      <c r="C1180" s="595"/>
      <c r="D1180" s="1658"/>
      <c r="E1180" s="574"/>
      <c r="F1180" s="574"/>
      <c r="G1180" s="1510"/>
    </row>
    <row r="1181" spans="1:7" ht="17.100000000000001" hidden="1" customHeight="1">
      <c r="A1181" s="548"/>
      <c r="B1181" s="2888"/>
      <c r="C1181" s="2852" t="s">
        <v>711</v>
      </c>
      <c r="D1181" s="2852"/>
      <c r="E1181" s="564">
        <f t="shared" ref="E1181:F1181" si="198">E1182</f>
        <v>28080</v>
      </c>
      <c r="F1181" s="564">
        <f t="shared" si="198"/>
        <v>0</v>
      </c>
      <c r="G1181" s="1497">
        <f t="shared" si="188"/>
        <v>0</v>
      </c>
    </row>
    <row r="1182" spans="1:7" ht="17.100000000000001" hidden="1" customHeight="1" thickBot="1">
      <c r="A1182" s="548"/>
      <c r="B1182" s="2888"/>
      <c r="C1182" s="1919" t="s">
        <v>521</v>
      </c>
      <c r="D1182" s="1878" t="s">
        <v>522</v>
      </c>
      <c r="E1182" s="552">
        <v>28080</v>
      </c>
      <c r="F1182" s="552">
        <v>0</v>
      </c>
      <c r="G1182" s="1445">
        <f t="shared" si="188"/>
        <v>0</v>
      </c>
    </row>
    <row r="1183" spans="1:7" ht="17.100000000000001" hidden="1" customHeight="1" thickBot="1">
      <c r="A1183" s="548"/>
      <c r="B1183" s="559" t="s">
        <v>769</v>
      </c>
      <c r="C1183" s="560"/>
      <c r="D1183" s="561" t="s">
        <v>377</v>
      </c>
      <c r="E1183" s="562">
        <f>E1184</f>
        <v>0</v>
      </c>
      <c r="F1183" s="562">
        <f t="shared" ref="F1183" si="199">F1184</f>
        <v>0</v>
      </c>
      <c r="G1183" s="1478" t="e">
        <f t="shared" si="188"/>
        <v>#DIV/0!</v>
      </c>
    </row>
    <row r="1184" spans="1:7" ht="17.100000000000001" hidden="1" customHeight="1">
      <c r="A1184" s="548"/>
      <c r="B1184" s="746"/>
      <c r="C1184" s="2853" t="s">
        <v>470</v>
      </c>
      <c r="D1184" s="2853"/>
      <c r="E1184" s="551">
        <f>E1185</f>
        <v>0</v>
      </c>
      <c r="F1184" s="551">
        <f>F1185</f>
        <v>0</v>
      </c>
      <c r="G1184" s="1438" t="e">
        <f>F1184/E1184</f>
        <v>#DIV/0!</v>
      </c>
    </row>
    <row r="1185" spans="1:7" ht="17.100000000000001" hidden="1" customHeight="1">
      <c r="A1185" s="548"/>
      <c r="B1185" s="746"/>
      <c r="C1185" s="2899" t="s">
        <v>471</v>
      </c>
      <c r="D1185" s="2899"/>
      <c r="E1185" s="1865">
        <f>E1186</f>
        <v>0</v>
      </c>
      <c r="F1185" s="1865">
        <f>F1186</f>
        <v>0</v>
      </c>
      <c r="G1185" s="1827" t="e">
        <f t="shared" ref="G1185:G1187" si="200">F1185/E1185</f>
        <v>#DIV/0!</v>
      </c>
    </row>
    <row r="1186" spans="1:7" ht="17.100000000000001" hidden="1" customHeight="1">
      <c r="A1186" s="548"/>
      <c r="B1186" s="746"/>
      <c r="C1186" s="2954" t="s">
        <v>483</v>
      </c>
      <c r="D1186" s="2954"/>
      <c r="E1186" s="1865">
        <f>E1187</f>
        <v>0</v>
      </c>
      <c r="F1186" s="1865">
        <f>F1187</f>
        <v>0</v>
      </c>
      <c r="G1186" s="1827" t="e">
        <f t="shared" si="200"/>
        <v>#DIV/0!</v>
      </c>
    </row>
    <row r="1187" spans="1:7" ht="17.100000000000001" hidden="1" customHeight="1" thickBot="1">
      <c r="A1187" s="548"/>
      <c r="B1187" s="746"/>
      <c r="C1187" s="1824" t="s">
        <v>663</v>
      </c>
      <c r="D1187" s="1696" t="s">
        <v>664</v>
      </c>
      <c r="E1187" s="552"/>
      <c r="F1187" s="552">
        <v>0</v>
      </c>
      <c r="G1187" s="1445" t="e">
        <f t="shared" si="200"/>
        <v>#DIV/0!</v>
      </c>
    </row>
    <row r="1188" spans="1:7" ht="17.100000000000001" customHeight="1" thickBot="1">
      <c r="A1188" s="548"/>
      <c r="B1188" s="559" t="s">
        <v>770</v>
      </c>
      <c r="C1188" s="560"/>
      <c r="D1188" s="561" t="s">
        <v>771</v>
      </c>
      <c r="E1188" s="562">
        <f t="shared" ref="E1188:F1188" si="201">E1189</f>
        <v>673465</v>
      </c>
      <c r="F1188" s="562">
        <f t="shared" si="201"/>
        <v>993866</v>
      </c>
      <c r="G1188" s="1478">
        <f t="shared" si="188"/>
        <v>1.4757500389775267</v>
      </c>
    </row>
    <row r="1189" spans="1:7" ht="17.100000000000001" customHeight="1">
      <c r="A1189" s="548"/>
      <c r="B1189" s="2771"/>
      <c r="C1189" s="2853" t="s">
        <v>470</v>
      </c>
      <c r="D1189" s="2853"/>
      <c r="E1189" s="549">
        <f t="shared" ref="E1189:F1189" si="202">E1190+E1203</f>
        <v>673465</v>
      </c>
      <c r="F1189" s="549">
        <f t="shared" si="202"/>
        <v>993866</v>
      </c>
      <c r="G1189" s="1424">
        <f t="shared" si="188"/>
        <v>1.4757500389775267</v>
      </c>
    </row>
    <row r="1190" spans="1:7" ht="17.100000000000001" customHeight="1">
      <c r="A1190" s="548"/>
      <c r="B1190" s="2771"/>
      <c r="C1190" s="2899" t="s">
        <v>471</v>
      </c>
      <c r="D1190" s="2899"/>
      <c r="E1190" s="1436">
        <f t="shared" ref="E1190:F1190" si="203">E1191+E1197</f>
        <v>673027</v>
      </c>
      <c r="F1190" s="1436">
        <f t="shared" si="203"/>
        <v>993363</v>
      </c>
      <c r="G1190" s="1437">
        <f t="shared" si="188"/>
        <v>1.4759630742897387</v>
      </c>
    </row>
    <row r="1191" spans="1:7" ht="17.100000000000001" customHeight="1">
      <c r="A1191" s="548"/>
      <c r="B1191" s="2771"/>
      <c r="C1191" s="2950" t="s">
        <v>472</v>
      </c>
      <c r="D1191" s="2950"/>
      <c r="E1191" s="1461">
        <f t="shared" ref="E1191:F1191" si="204">SUM(E1192:E1195)</f>
        <v>636317</v>
      </c>
      <c r="F1191" s="1461">
        <f t="shared" si="204"/>
        <v>938366</v>
      </c>
      <c r="G1191" s="1462">
        <f t="shared" si="188"/>
        <v>1.4746832160699777</v>
      </c>
    </row>
    <row r="1192" spans="1:7" ht="17.100000000000001" customHeight="1">
      <c r="A1192" s="548"/>
      <c r="B1192" s="2771"/>
      <c r="C1192" s="1824" t="s">
        <v>473</v>
      </c>
      <c r="D1192" s="1696" t="s">
        <v>474</v>
      </c>
      <c r="E1192" s="1436">
        <v>491199</v>
      </c>
      <c r="F1192" s="1436">
        <v>727353</v>
      </c>
      <c r="G1192" s="1437">
        <f t="shared" si="188"/>
        <v>1.4807705227412922</v>
      </c>
    </row>
    <row r="1193" spans="1:7" ht="17.100000000000001" customHeight="1">
      <c r="A1193" s="548"/>
      <c r="B1193" s="2771"/>
      <c r="C1193" s="1824" t="s">
        <v>475</v>
      </c>
      <c r="D1193" s="1696" t="s">
        <v>476</v>
      </c>
      <c r="E1193" s="1436">
        <v>40632</v>
      </c>
      <c r="F1193" s="1436">
        <v>58389</v>
      </c>
      <c r="G1193" s="1437">
        <f t="shared" si="188"/>
        <v>1.4370200826934436</v>
      </c>
    </row>
    <row r="1194" spans="1:7" ht="17.100000000000001" customHeight="1">
      <c r="A1194" s="548"/>
      <c r="B1194" s="2771"/>
      <c r="C1194" s="1824" t="s">
        <v>477</v>
      </c>
      <c r="D1194" s="1696" t="s">
        <v>478</v>
      </c>
      <c r="E1194" s="1436">
        <v>91393</v>
      </c>
      <c r="F1194" s="1436">
        <v>134191</v>
      </c>
      <c r="G1194" s="1437">
        <f t="shared" si="188"/>
        <v>1.4682853172562451</v>
      </c>
    </row>
    <row r="1195" spans="1:7" ht="27" customHeight="1">
      <c r="A1195" s="548"/>
      <c r="B1195" s="2771"/>
      <c r="C1195" s="1824" t="s">
        <v>479</v>
      </c>
      <c r="D1195" s="1696" t="s">
        <v>1028</v>
      </c>
      <c r="E1195" s="1436">
        <v>13093</v>
      </c>
      <c r="F1195" s="1436">
        <v>18433</v>
      </c>
      <c r="G1195" s="1437">
        <f t="shared" si="188"/>
        <v>1.4078515237149622</v>
      </c>
    </row>
    <row r="1196" spans="1:7" ht="17.100000000000001" customHeight="1">
      <c r="A1196" s="548"/>
      <c r="B1196" s="2771"/>
      <c r="C1196" s="553"/>
      <c r="D1196" s="553"/>
      <c r="E1196" s="550"/>
      <c r="F1196" s="550"/>
      <c r="G1196" s="1433"/>
    </row>
    <row r="1197" spans="1:7" ht="17.100000000000001" customHeight="1">
      <c r="A1197" s="548"/>
      <c r="B1197" s="2771"/>
      <c r="C1197" s="2954" t="s">
        <v>483</v>
      </c>
      <c r="D1197" s="2954"/>
      <c r="E1197" s="1461">
        <f t="shared" ref="E1197:F1197" si="205">SUM(E1198:E1201)</f>
        <v>36710</v>
      </c>
      <c r="F1197" s="1461">
        <f t="shared" si="205"/>
        <v>54997</v>
      </c>
      <c r="G1197" s="1462">
        <f t="shared" si="188"/>
        <v>1.4981476436938164</v>
      </c>
    </row>
    <row r="1198" spans="1:7" ht="17.100000000000001" customHeight="1">
      <c r="A1198" s="548"/>
      <c r="B1198" s="2771"/>
      <c r="C1198" s="1824" t="s">
        <v>486</v>
      </c>
      <c r="D1198" s="1696" t="s">
        <v>487</v>
      </c>
      <c r="E1198" s="1436">
        <v>4223</v>
      </c>
      <c r="F1198" s="1436">
        <v>4223</v>
      </c>
      <c r="G1198" s="1437">
        <f t="shared" si="188"/>
        <v>1</v>
      </c>
    </row>
    <row r="1199" spans="1:7" ht="17.100000000000001" customHeight="1">
      <c r="A1199" s="548"/>
      <c r="B1199" s="2771"/>
      <c r="C1199" s="1824" t="s">
        <v>663</v>
      </c>
      <c r="D1199" s="1696" t="s">
        <v>664</v>
      </c>
      <c r="E1199" s="1436">
        <v>4030</v>
      </c>
      <c r="F1199" s="1436">
        <v>4030</v>
      </c>
      <c r="G1199" s="1437">
        <f t="shared" si="188"/>
        <v>1</v>
      </c>
    </row>
    <row r="1200" spans="1:7" ht="17.100000000000001" customHeight="1">
      <c r="A1200" s="548"/>
      <c r="B1200" s="2771"/>
      <c r="C1200" s="1824" t="s">
        <v>494</v>
      </c>
      <c r="D1200" s="1696" t="s">
        <v>495</v>
      </c>
      <c r="E1200" s="1436">
        <v>387</v>
      </c>
      <c r="F1200" s="1436">
        <v>1396</v>
      </c>
      <c r="G1200" s="1437">
        <f t="shared" si="188"/>
        <v>3.6072351421188631</v>
      </c>
    </row>
    <row r="1201" spans="1:7" ht="17.100000000000001" customHeight="1">
      <c r="A1201" s="548"/>
      <c r="B1201" s="2771"/>
      <c r="C1201" s="1824" t="s">
        <v>508</v>
      </c>
      <c r="D1201" s="1696" t="s">
        <v>509</v>
      </c>
      <c r="E1201" s="1436">
        <v>28070</v>
      </c>
      <c r="F1201" s="1436">
        <v>45348</v>
      </c>
      <c r="G1201" s="1437">
        <f t="shared" si="188"/>
        <v>1.6155325970787318</v>
      </c>
    </row>
    <row r="1202" spans="1:7" ht="17.100000000000001" customHeight="1">
      <c r="A1202" s="548"/>
      <c r="B1202" s="2788"/>
      <c r="C1202" s="595"/>
      <c r="D1202" s="1674"/>
      <c r="E1202" s="597"/>
      <c r="F1202" s="597"/>
      <c r="G1202" s="1460"/>
    </row>
    <row r="1203" spans="1:7" ht="17.100000000000001" customHeight="1">
      <c r="A1203" s="548"/>
      <c r="B1203" s="2788"/>
      <c r="C1203" s="2852" t="s">
        <v>711</v>
      </c>
      <c r="D1203" s="2961"/>
      <c r="E1203" s="564">
        <f t="shared" ref="E1203:F1203" si="206">E1204</f>
        <v>438</v>
      </c>
      <c r="F1203" s="564">
        <f t="shared" si="206"/>
        <v>503</v>
      </c>
      <c r="G1203" s="1437">
        <f t="shared" si="188"/>
        <v>1.1484018264840183</v>
      </c>
    </row>
    <row r="1204" spans="1:7" ht="17.100000000000001" customHeight="1" thickBot="1">
      <c r="A1204" s="548"/>
      <c r="B1204" s="2788"/>
      <c r="C1204" s="1863" t="s">
        <v>521</v>
      </c>
      <c r="D1204" s="1864" t="s">
        <v>522</v>
      </c>
      <c r="E1204" s="1865">
        <v>438</v>
      </c>
      <c r="F1204" s="1865">
        <v>503</v>
      </c>
      <c r="G1204" s="1827">
        <f t="shared" si="188"/>
        <v>1.1484018264840183</v>
      </c>
    </row>
    <row r="1205" spans="1:7" ht="17.100000000000001" customHeight="1" thickBot="1">
      <c r="A1205" s="548"/>
      <c r="B1205" s="559" t="s">
        <v>772</v>
      </c>
      <c r="C1205" s="560"/>
      <c r="D1205" s="561" t="s">
        <v>378</v>
      </c>
      <c r="E1205" s="562">
        <f>SUM(E1206,E1256)</f>
        <v>17265873</v>
      </c>
      <c r="F1205" s="562">
        <f t="shared" ref="F1205" si="207">SUM(F1206,F1256)</f>
        <v>17477455</v>
      </c>
      <c r="G1205" s="1478">
        <f t="shared" si="188"/>
        <v>1.0122543470579217</v>
      </c>
    </row>
    <row r="1206" spans="1:7" ht="17.100000000000001" customHeight="1">
      <c r="A1206" s="548"/>
      <c r="B1206" s="746"/>
      <c r="C1206" s="2853" t="s">
        <v>470</v>
      </c>
      <c r="D1206" s="2853"/>
      <c r="E1206" s="549">
        <f>E1207+E1234+E1238</f>
        <v>17240873</v>
      </c>
      <c r="F1206" s="549">
        <f t="shared" ref="F1206" si="208">F1207+F1234+F1238</f>
        <v>17462455</v>
      </c>
      <c r="G1206" s="1424">
        <f t="shared" si="188"/>
        <v>1.0128521334157499</v>
      </c>
    </row>
    <row r="1207" spans="1:7" ht="17.100000000000001" customHeight="1">
      <c r="A1207" s="548"/>
      <c r="B1207" s="746"/>
      <c r="C1207" s="2899" t="s">
        <v>471</v>
      </c>
      <c r="D1207" s="2899"/>
      <c r="E1207" s="1436">
        <f t="shared" ref="E1207:F1207" si="209">E1208+E1215</f>
        <v>16809375</v>
      </c>
      <c r="F1207" s="1436">
        <f t="shared" si="209"/>
        <v>17411575</v>
      </c>
      <c r="G1207" s="1437">
        <f t="shared" ref="G1207:G1280" si="210">F1207/E1207</f>
        <v>1.0358252463283137</v>
      </c>
    </row>
    <row r="1208" spans="1:7" ht="17.100000000000001" customHeight="1">
      <c r="A1208" s="548"/>
      <c r="B1208" s="746"/>
      <c r="C1208" s="2950" t="s">
        <v>472</v>
      </c>
      <c r="D1208" s="2950"/>
      <c r="E1208" s="1461">
        <f t="shared" ref="E1208:F1208" si="211">SUM(E1209:E1213)</f>
        <v>14702280</v>
      </c>
      <c r="F1208" s="1461">
        <f t="shared" si="211"/>
        <v>15310625</v>
      </c>
      <c r="G1208" s="1462">
        <f t="shared" si="210"/>
        <v>1.0413775958558809</v>
      </c>
    </row>
    <row r="1209" spans="1:7" ht="17.100000000000001" customHeight="1">
      <c r="A1209" s="548"/>
      <c r="B1209" s="746"/>
      <c r="C1209" s="1824" t="s">
        <v>473</v>
      </c>
      <c r="D1209" s="1696" t="s">
        <v>474</v>
      </c>
      <c r="E1209" s="1436">
        <v>11387554</v>
      </c>
      <c r="F1209" s="1436">
        <v>11936130</v>
      </c>
      <c r="G1209" s="1437">
        <f t="shared" si="210"/>
        <v>1.0481732951606639</v>
      </c>
    </row>
    <row r="1210" spans="1:7" ht="17.100000000000001" customHeight="1">
      <c r="A1210" s="548"/>
      <c r="B1210" s="746"/>
      <c r="C1210" s="1824" t="s">
        <v>475</v>
      </c>
      <c r="D1210" s="1696" t="s">
        <v>476</v>
      </c>
      <c r="E1210" s="1436">
        <v>928959</v>
      </c>
      <c r="F1210" s="1436">
        <v>880665</v>
      </c>
      <c r="G1210" s="1437">
        <f t="shared" si="210"/>
        <v>0.94801277559074193</v>
      </c>
    </row>
    <row r="1211" spans="1:7" ht="17.100000000000001" customHeight="1">
      <c r="A1211" s="548"/>
      <c r="B1211" s="746"/>
      <c r="C1211" s="1824" t="s">
        <v>477</v>
      </c>
      <c r="D1211" s="1696" t="s">
        <v>478</v>
      </c>
      <c r="E1211" s="1436">
        <v>2061490</v>
      </c>
      <c r="F1211" s="1436">
        <v>2161160</v>
      </c>
      <c r="G1211" s="1437">
        <f t="shared" si="210"/>
        <v>1.0483485246108397</v>
      </c>
    </row>
    <row r="1212" spans="1:7" ht="26.25" customHeight="1">
      <c r="A1212" s="548"/>
      <c r="B1212" s="746"/>
      <c r="C1212" s="1824" t="s">
        <v>479</v>
      </c>
      <c r="D1212" s="1696" t="s">
        <v>1028</v>
      </c>
      <c r="E1212" s="1436">
        <v>276357</v>
      </c>
      <c r="F1212" s="1436">
        <v>287210</v>
      </c>
      <c r="G1212" s="1437">
        <f t="shared" si="210"/>
        <v>1.0392716667209443</v>
      </c>
    </row>
    <row r="1213" spans="1:7" ht="17.100000000000001" customHeight="1">
      <c r="A1213" s="548"/>
      <c r="B1213" s="746"/>
      <c r="C1213" s="1863" t="s">
        <v>481</v>
      </c>
      <c r="D1213" s="1864" t="s">
        <v>482</v>
      </c>
      <c r="E1213" s="1436">
        <v>47920</v>
      </c>
      <c r="F1213" s="1436">
        <v>45460</v>
      </c>
      <c r="G1213" s="1437">
        <f t="shared" si="210"/>
        <v>0.94866444073455758</v>
      </c>
    </row>
    <row r="1214" spans="1:7" ht="17.100000000000001" customHeight="1">
      <c r="A1214" s="548"/>
      <c r="B1214" s="746"/>
      <c r="C1214" s="1920"/>
      <c r="D1214" s="1920"/>
      <c r="E1214" s="1921"/>
      <c r="F1214" s="1921"/>
      <c r="G1214" s="1827"/>
    </row>
    <row r="1215" spans="1:7" ht="17.100000000000001" customHeight="1">
      <c r="A1215" s="548"/>
      <c r="B1215" s="746"/>
      <c r="C1215" s="2954" t="s">
        <v>483</v>
      </c>
      <c r="D1215" s="2954"/>
      <c r="E1215" s="1922">
        <f>SUM(E1216:E1232)</f>
        <v>2107095</v>
      </c>
      <c r="F1215" s="1922">
        <f t="shared" ref="F1215" si="212">SUM(F1216:F1232)</f>
        <v>2100950</v>
      </c>
      <c r="G1215" s="1923">
        <f t="shared" si="210"/>
        <v>0.99708366257809922</v>
      </c>
    </row>
    <row r="1216" spans="1:7" ht="17.100000000000001" customHeight="1">
      <c r="A1216" s="548"/>
      <c r="B1216" s="746"/>
      <c r="C1216" s="1824" t="s">
        <v>484</v>
      </c>
      <c r="D1216" s="1696" t="s">
        <v>485</v>
      </c>
      <c r="E1216" s="1436">
        <v>29600</v>
      </c>
      <c r="F1216" s="1436">
        <v>28100</v>
      </c>
      <c r="G1216" s="1437">
        <f t="shared" si="210"/>
        <v>0.94932432432432434</v>
      </c>
    </row>
    <row r="1217" spans="1:7" ht="17.100000000000001" customHeight="1">
      <c r="A1217" s="548"/>
      <c r="B1217" s="746"/>
      <c r="C1217" s="1824" t="s">
        <v>486</v>
      </c>
      <c r="D1217" s="1696" t="s">
        <v>487</v>
      </c>
      <c r="E1217" s="1436">
        <v>169546</v>
      </c>
      <c r="F1217" s="1436">
        <v>155235</v>
      </c>
      <c r="G1217" s="1437">
        <f t="shared" si="210"/>
        <v>0.91559222865770939</v>
      </c>
    </row>
    <row r="1218" spans="1:7" ht="17.100000000000001" customHeight="1">
      <c r="A1218" s="548"/>
      <c r="B1218" s="746"/>
      <c r="C1218" s="1824" t="s">
        <v>663</v>
      </c>
      <c r="D1218" s="1696" t="s">
        <v>664</v>
      </c>
      <c r="E1218" s="1436">
        <v>101400</v>
      </c>
      <c r="F1218" s="1436">
        <v>94400</v>
      </c>
      <c r="G1218" s="1437">
        <f t="shared" si="210"/>
        <v>0.93096646942800787</v>
      </c>
    </row>
    <row r="1219" spans="1:7" ht="17.100000000000001" customHeight="1">
      <c r="A1219" s="548"/>
      <c r="B1219" s="746"/>
      <c r="C1219" s="1824" t="s">
        <v>490</v>
      </c>
      <c r="D1219" s="1696" t="s">
        <v>491</v>
      </c>
      <c r="E1219" s="1436">
        <v>591193</v>
      </c>
      <c r="F1219" s="1436">
        <v>552043</v>
      </c>
      <c r="G1219" s="1437">
        <f t="shared" si="210"/>
        <v>0.93377797098409487</v>
      </c>
    </row>
    <row r="1220" spans="1:7" ht="17.100000000000001" customHeight="1">
      <c r="A1220" s="548"/>
      <c r="B1220" s="746"/>
      <c r="C1220" s="1824" t="s">
        <v>492</v>
      </c>
      <c r="D1220" s="1696" t="s">
        <v>493</v>
      </c>
      <c r="E1220" s="1436">
        <v>133140</v>
      </c>
      <c r="F1220" s="1436">
        <v>185420</v>
      </c>
      <c r="G1220" s="1437">
        <f t="shared" si="210"/>
        <v>1.3926693705873516</v>
      </c>
    </row>
    <row r="1221" spans="1:7" ht="17.100000000000001" customHeight="1">
      <c r="A1221" s="548"/>
      <c r="B1221" s="746"/>
      <c r="C1221" s="1824" t="s">
        <v>494</v>
      </c>
      <c r="D1221" s="1696" t="s">
        <v>495</v>
      </c>
      <c r="E1221" s="1436">
        <v>16439</v>
      </c>
      <c r="F1221" s="1436">
        <v>14439</v>
      </c>
      <c r="G1221" s="1437">
        <f t="shared" si="210"/>
        <v>0.87833809842447841</v>
      </c>
    </row>
    <row r="1222" spans="1:7" ht="17.100000000000001" customHeight="1">
      <c r="A1222" s="548"/>
      <c r="B1222" s="746"/>
      <c r="C1222" s="1824" t="s">
        <v>496</v>
      </c>
      <c r="D1222" s="1696" t="s">
        <v>497</v>
      </c>
      <c r="E1222" s="1436">
        <v>367778</v>
      </c>
      <c r="F1222" s="1436">
        <v>384550</v>
      </c>
      <c r="G1222" s="1437">
        <f t="shared" si="210"/>
        <v>1.0456035978225995</v>
      </c>
    </row>
    <row r="1223" spans="1:7" ht="27" customHeight="1">
      <c r="A1223" s="548"/>
      <c r="B1223" s="746"/>
      <c r="C1223" s="1824" t="s">
        <v>773</v>
      </c>
      <c r="D1223" s="1696" t="s">
        <v>774</v>
      </c>
      <c r="E1223" s="1436">
        <v>0</v>
      </c>
      <c r="F1223" s="1436">
        <v>5000</v>
      </c>
      <c r="G1223" s="1437"/>
    </row>
    <row r="1224" spans="1:7" ht="16.5" customHeight="1">
      <c r="A1224" s="548"/>
      <c r="B1224" s="746"/>
      <c r="C1224" s="1824" t="s">
        <v>498</v>
      </c>
      <c r="D1224" s="1696" t="s">
        <v>499</v>
      </c>
      <c r="E1224" s="1436">
        <v>27890</v>
      </c>
      <c r="F1224" s="1436">
        <v>25970</v>
      </c>
      <c r="G1224" s="1437">
        <f t="shared" si="210"/>
        <v>0.93115812119039088</v>
      </c>
    </row>
    <row r="1225" spans="1:7" ht="16.5" customHeight="1">
      <c r="A1225" s="548"/>
      <c r="B1225" s="746"/>
      <c r="C1225" s="1824" t="s">
        <v>500</v>
      </c>
      <c r="D1225" s="1696" t="s">
        <v>501</v>
      </c>
      <c r="E1225" s="1436">
        <v>1580</v>
      </c>
      <c r="F1225" s="1436">
        <v>80</v>
      </c>
      <c r="G1225" s="1437">
        <f t="shared" si="210"/>
        <v>5.0632911392405063E-2</v>
      </c>
    </row>
    <row r="1226" spans="1:7" ht="27.75" customHeight="1">
      <c r="A1226" s="548"/>
      <c r="B1226" s="746"/>
      <c r="C1226" s="1824" t="s">
        <v>502</v>
      </c>
      <c r="D1226" s="1696" t="s">
        <v>503</v>
      </c>
      <c r="E1226" s="1436">
        <v>9042</v>
      </c>
      <c r="F1226" s="1436">
        <v>2400</v>
      </c>
      <c r="G1226" s="1437">
        <f t="shared" si="210"/>
        <v>0.26542800265428002</v>
      </c>
    </row>
    <row r="1227" spans="1:7" ht="17.100000000000001" customHeight="1">
      <c r="A1227" s="548"/>
      <c r="B1227" s="746"/>
      <c r="C1227" s="1824" t="s">
        <v>504</v>
      </c>
      <c r="D1227" s="1696" t="s">
        <v>505</v>
      </c>
      <c r="E1227" s="1436">
        <v>17840</v>
      </c>
      <c r="F1227" s="1436">
        <v>18040</v>
      </c>
      <c r="G1227" s="1437">
        <f t="shared" si="210"/>
        <v>1.0112107623318385</v>
      </c>
    </row>
    <row r="1228" spans="1:7" ht="17.100000000000001" customHeight="1">
      <c r="A1228" s="548"/>
      <c r="B1228" s="746"/>
      <c r="C1228" s="1824" t="s">
        <v>506</v>
      </c>
      <c r="D1228" s="1696" t="s">
        <v>507</v>
      </c>
      <c r="E1228" s="1436">
        <v>23170</v>
      </c>
      <c r="F1228" s="1436">
        <v>21170</v>
      </c>
      <c r="G1228" s="1437">
        <f t="shared" si="210"/>
        <v>0.91368148467846355</v>
      </c>
    </row>
    <row r="1229" spans="1:7" ht="17.100000000000001" customHeight="1">
      <c r="A1229" s="548"/>
      <c r="B1229" s="746"/>
      <c r="C1229" s="1824" t="s">
        <v>508</v>
      </c>
      <c r="D1229" s="1696" t="s">
        <v>509</v>
      </c>
      <c r="E1229" s="1436">
        <v>577263</v>
      </c>
      <c r="F1229" s="1436">
        <v>558738</v>
      </c>
      <c r="G1229" s="1437">
        <f t="shared" si="210"/>
        <v>0.96790890807136432</v>
      </c>
    </row>
    <row r="1230" spans="1:7" ht="17.100000000000001" hidden="1" customHeight="1">
      <c r="A1230" s="548"/>
      <c r="B1230" s="746"/>
      <c r="C1230" s="1824" t="s">
        <v>512</v>
      </c>
      <c r="D1230" s="1696" t="s">
        <v>513</v>
      </c>
      <c r="E1230" s="1436">
        <v>79</v>
      </c>
      <c r="F1230" s="1436">
        <v>0</v>
      </c>
      <c r="G1230" s="1437">
        <f t="shared" si="210"/>
        <v>0</v>
      </c>
    </row>
    <row r="1231" spans="1:7" ht="17.100000000000001" customHeight="1">
      <c r="A1231" s="548"/>
      <c r="B1231" s="746"/>
      <c r="C1231" s="1824" t="s">
        <v>514</v>
      </c>
      <c r="D1231" s="1696" t="s">
        <v>775</v>
      </c>
      <c r="E1231" s="1436">
        <v>28295</v>
      </c>
      <c r="F1231" s="1436">
        <v>42704</v>
      </c>
      <c r="G1231" s="1437">
        <f t="shared" si="210"/>
        <v>1.5092419155327796</v>
      </c>
    </row>
    <row r="1232" spans="1:7" ht="17.100000000000001" customHeight="1">
      <c r="A1232" s="548"/>
      <c r="B1232" s="746"/>
      <c r="C1232" s="1824" t="s">
        <v>518</v>
      </c>
      <c r="D1232" s="1696" t="s">
        <v>519</v>
      </c>
      <c r="E1232" s="1436">
        <v>12840</v>
      </c>
      <c r="F1232" s="1436">
        <v>12661</v>
      </c>
      <c r="G1232" s="1437">
        <f t="shared" si="210"/>
        <v>0.98605919003115261</v>
      </c>
    </row>
    <row r="1233" spans="1:7" ht="17.100000000000001" customHeight="1">
      <c r="A1233" s="548"/>
      <c r="B1233" s="746"/>
      <c r="C1233" s="553"/>
      <c r="D1233" s="553"/>
      <c r="E1233" s="550"/>
      <c r="F1233" s="550"/>
      <c r="G1233" s="1433"/>
    </row>
    <row r="1234" spans="1:7" ht="17.100000000000001" customHeight="1">
      <c r="A1234" s="548"/>
      <c r="B1234" s="746"/>
      <c r="C1234" s="2928" t="s">
        <v>711</v>
      </c>
      <c r="D1234" s="2928"/>
      <c r="E1234" s="1436">
        <f>E1235+E1236</f>
        <v>303530</v>
      </c>
      <c r="F1234" s="1436">
        <f t="shared" ref="F1234" si="213">F1235+F1236</f>
        <v>50880</v>
      </c>
      <c r="G1234" s="1437">
        <f t="shared" si="210"/>
        <v>0.16762758211708892</v>
      </c>
    </row>
    <row r="1235" spans="1:7" ht="17.100000000000001" customHeight="1">
      <c r="A1235" s="548"/>
      <c r="B1235" s="746"/>
      <c r="C1235" s="1924" t="s">
        <v>521</v>
      </c>
      <c r="D1235" s="1886" t="s">
        <v>522</v>
      </c>
      <c r="E1235" s="1436">
        <v>68530</v>
      </c>
      <c r="F1235" s="1436">
        <v>50880</v>
      </c>
      <c r="G1235" s="1437">
        <f t="shared" si="210"/>
        <v>0.74244856267328174</v>
      </c>
    </row>
    <row r="1236" spans="1:7" ht="17.100000000000001" hidden="1" customHeight="1">
      <c r="A1236" s="548"/>
      <c r="B1236" s="746"/>
      <c r="C1236" s="1571" t="s">
        <v>776</v>
      </c>
      <c r="D1236" s="1686" t="s">
        <v>777</v>
      </c>
      <c r="E1236" s="1436">
        <v>235000</v>
      </c>
      <c r="F1236" s="1436">
        <v>0</v>
      </c>
      <c r="G1236" s="1437">
        <f t="shared" si="210"/>
        <v>0</v>
      </c>
    </row>
    <row r="1237" spans="1:7">
      <c r="A1237" s="548"/>
      <c r="B1237" s="746"/>
      <c r="C1237" s="1925"/>
      <c r="D1237" s="1926"/>
      <c r="E1237" s="1464"/>
      <c r="F1237" s="1464"/>
      <c r="G1237" s="1465"/>
    </row>
    <row r="1238" spans="1:7" ht="17.100000000000001" hidden="1" customHeight="1">
      <c r="A1238" s="548"/>
      <c r="B1238" s="746"/>
      <c r="C1238" s="2962" t="s">
        <v>536</v>
      </c>
      <c r="D1238" s="2963"/>
      <c r="E1238" s="1927">
        <f>SUM(E1239:E1254)</f>
        <v>127968</v>
      </c>
      <c r="F1238" s="1927">
        <f t="shared" ref="F1238" si="214">SUM(F1239:F1254)</f>
        <v>0</v>
      </c>
      <c r="G1238" s="1928">
        <f t="shared" si="210"/>
        <v>0</v>
      </c>
    </row>
    <row r="1239" spans="1:7" ht="17.100000000000001" hidden="1" customHeight="1">
      <c r="A1239" s="548"/>
      <c r="B1239" s="746"/>
      <c r="C1239" s="1824" t="s">
        <v>778</v>
      </c>
      <c r="D1239" s="1667" t="s">
        <v>777</v>
      </c>
      <c r="E1239" s="1929">
        <v>48501</v>
      </c>
      <c r="F1239" s="1929">
        <v>0</v>
      </c>
      <c r="G1239" s="1834">
        <f t="shared" si="210"/>
        <v>0</v>
      </c>
    </row>
    <row r="1240" spans="1:7" ht="17.100000000000001" hidden="1" customHeight="1">
      <c r="A1240" s="548"/>
      <c r="B1240" s="746"/>
      <c r="C1240" s="1824" t="s">
        <v>779</v>
      </c>
      <c r="D1240" s="1667" t="s">
        <v>777</v>
      </c>
      <c r="E1240" s="1929">
        <v>5359</v>
      </c>
      <c r="F1240" s="1929">
        <v>0</v>
      </c>
      <c r="G1240" s="1834">
        <f t="shared" si="210"/>
        <v>0</v>
      </c>
    </row>
    <row r="1241" spans="1:7" ht="17.100000000000001" hidden="1" customHeight="1">
      <c r="A1241" s="548"/>
      <c r="B1241" s="746"/>
      <c r="C1241" s="1824" t="s">
        <v>596</v>
      </c>
      <c r="D1241" s="1642" t="s">
        <v>474</v>
      </c>
      <c r="E1241" s="1929">
        <v>10831</v>
      </c>
      <c r="F1241" s="1929">
        <v>0</v>
      </c>
      <c r="G1241" s="1834">
        <f t="shared" si="210"/>
        <v>0</v>
      </c>
    </row>
    <row r="1242" spans="1:7" ht="17.100000000000001" hidden="1" customHeight="1">
      <c r="A1242" s="548"/>
      <c r="B1242" s="746"/>
      <c r="C1242" s="1824" t="s">
        <v>541</v>
      </c>
      <c r="D1242" s="1642" t="s">
        <v>474</v>
      </c>
      <c r="E1242" s="1929">
        <v>10831</v>
      </c>
      <c r="F1242" s="1929">
        <v>0</v>
      </c>
      <c r="G1242" s="1834">
        <f t="shared" si="210"/>
        <v>0</v>
      </c>
    </row>
    <row r="1243" spans="1:7" ht="17.100000000000001" hidden="1" customHeight="1">
      <c r="A1243" s="548"/>
      <c r="B1243" s="746"/>
      <c r="C1243" s="1824" t="s">
        <v>598</v>
      </c>
      <c r="D1243" s="1696" t="s">
        <v>478</v>
      </c>
      <c r="E1243" s="1929">
        <v>15863</v>
      </c>
      <c r="F1243" s="1929">
        <v>0</v>
      </c>
      <c r="G1243" s="1834">
        <f t="shared" si="210"/>
        <v>0</v>
      </c>
    </row>
    <row r="1244" spans="1:7" ht="17.100000000000001" hidden="1" customHeight="1">
      <c r="A1244" s="548"/>
      <c r="B1244" s="746"/>
      <c r="C1244" s="1824" t="s">
        <v>545</v>
      </c>
      <c r="D1244" s="1696" t="s">
        <v>478</v>
      </c>
      <c r="E1244" s="1929">
        <v>2903</v>
      </c>
      <c r="F1244" s="1929">
        <v>0</v>
      </c>
      <c r="G1244" s="1834">
        <f t="shared" si="210"/>
        <v>0</v>
      </c>
    </row>
    <row r="1245" spans="1:7" ht="29.25" hidden="1" customHeight="1">
      <c r="A1245" s="548"/>
      <c r="B1245" s="746"/>
      <c r="C1245" s="1824" t="s">
        <v>599</v>
      </c>
      <c r="D1245" s="1696" t="s">
        <v>1028</v>
      </c>
      <c r="E1245" s="1929">
        <v>103</v>
      </c>
      <c r="F1245" s="1929">
        <v>0</v>
      </c>
      <c r="G1245" s="1834">
        <f t="shared" si="210"/>
        <v>0</v>
      </c>
    </row>
    <row r="1246" spans="1:7" ht="28.5" hidden="1" customHeight="1">
      <c r="A1246" s="548"/>
      <c r="B1246" s="746"/>
      <c r="C1246" s="1824" t="s">
        <v>547</v>
      </c>
      <c r="D1246" s="1696" t="s">
        <v>1028</v>
      </c>
      <c r="E1246" s="1929">
        <v>103</v>
      </c>
      <c r="F1246" s="1929">
        <v>0</v>
      </c>
      <c r="G1246" s="1834">
        <f t="shared" si="210"/>
        <v>0</v>
      </c>
    </row>
    <row r="1247" spans="1:7" ht="17.100000000000001" hidden="1" customHeight="1">
      <c r="A1247" s="548"/>
      <c r="B1247" s="746"/>
      <c r="C1247" s="1824" t="s">
        <v>673</v>
      </c>
      <c r="D1247" s="1696" t="s">
        <v>1028</v>
      </c>
      <c r="E1247" s="1929"/>
      <c r="F1247" s="1929"/>
      <c r="G1247" s="1834"/>
    </row>
    <row r="1248" spans="1:7" ht="17.100000000000001" hidden="1" customHeight="1">
      <c r="A1248" s="548"/>
      <c r="B1248" s="746"/>
      <c r="C1248" s="1824" t="s">
        <v>549</v>
      </c>
      <c r="D1248" s="1696" t="s">
        <v>1028</v>
      </c>
      <c r="E1248" s="1929"/>
      <c r="F1248" s="1929"/>
      <c r="G1248" s="1834"/>
    </row>
    <row r="1249" spans="1:7" ht="17.100000000000001" hidden="1" customHeight="1">
      <c r="A1249" s="548"/>
      <c r="B1249" s="746"/>
      <c r="C1249" s="1824" t="s">
        <v>780</v>
      </c>
      <c r="D1249" s="1696" t="s">
        <v>1028</v>
      </c>
      <c r="E1249" s="1929"/>
      <c r="F1249" s="1929"/>
      <c r="G1249" s="1834" t="e">
        <f t="shared" si="210"/>
        <v>#DIV/0!</v>
      </c>
    </row>
    <row r="1250" spans="1:7" ht="9" hidden="1" customHeight="1">
      <c r="A1250" s="548"/>
      <c r="B1250" s="746"/>
      <c r="C1250" s="1824" t="s">
        <v>781</v>
      </c>
      <c r="D1250" s="1696" t="s">
        <v>1028</v>
      </c>
      <c r="E1250" s="1929"/>
      <c r="F1250" s="1929"/>
      <c r="G1250" s="1834" t="e">
        <f t="shared" si="210"/>
        <v>#DIV/0!</v>
      </c>
    </row>
    <row r="1251" spans="1:7" ht="17.100000000000001" hidden="1" customHeight="1">
      <c r="A1251" s="548"/>
      <c r="B1251" s="746"/>
      <c r="C1251" s="1824" t="s">
        <v>601</v>
      </c>
      <c r="D1251" s="1696" t="s">
        <v>497</v>
      </c>
      <c r="E1251" s="1929">
        <v>33474</v>
      </c>
      <c r="F1251" s="1929">
        <v>0</v>
      </c>
      <c r="G1251" s="1834">
        <f t="shared" si="210"/>
        <v>0</v>
      </c>
    </row>
    <row r="1252" spans="1:7" ht="17.100000000000001" hidden="1" customHeight="1">
      <c r="A1252" s="548"/>
      <c r="B1252" s="746"/>
      <c r="C1252" s="1824" t="s">
        <v>558</v>
      </c>
      <c r="D1252" s="1696" t="s">
        <v>497</v>
      </c>
      <c r="E1252" s="1929"/>
      <c r="F1252" s="1929"/>
      <c r="G1252" s="1834" t="e">
        <f t="shared" si="210"/>
        <v>#DIV/0!</v>
      </c>
    </row>
    <row r="1253" spans="1:7" ht="17.100000000000001" hidden="1" customHeight="1">
      <c r="A1253" s="548"/>
      <c r="B1253" s="746"/>
      <c r="C1253" s="1824" t="s">
        <v>603</v>
      </c>
      <c r="D1253" s="1696" t="s">
        <v>519</v>
      </c>
      <c r="E1253" s="1929"/>
      <c r="F1253" s="1929"/>
      <c r="G1253" s="1834" t="e">
        <f t="shared" si="210"/>
        <v>#DIV/0!</v>
      </c>
    </row>
    <row r="1254" spans="1:7" ht="17.100000000000001" hidden="1" customHeight="1">
      <c r="A1254" s="548"/>
      <c r="B1254" s="746"/>
      <c r="C1254" s="1924" t="s">
        <v>566</v>
      </c>
      <c r="D1254" s="1930" t="s">
        <v>519</v>
      </c>
      <c r="E1254" s="1929"/>
      <c r="F1254" s="1929"/>
      <c r="G1254" s="1834" t="e">
        <f t="shared" si="210"/>
        <v>#DIV/0!</v>
      </c>
    </row>
    <row r="1255" spans="1:7" ht="17.100000000000001" hidden="1" customHeight="1">
      <c r="A1255" s="548"/>
      <c r="B1255" s="746"/>
      <c r="C1255" s="1621"/>
      <c r="D1255" s="1931"/>
      <c r="E1255" s="1932"/>
      <c r="F1255" s="1932"/>
      <c r="G1255" s="1465"/>
    </row>
    <row r="1256" spans="1:7" ht="17.100000000000001" customHeight="1">
      <c r="A1256" s="548"/>
      <c r="B1256" s="746"/>
      <c r="C1256" s="2879" t="s">
        <v>523</v>
      </c>
      <c r="D1256" s="2879"/>
      <c r="E1256" s="549">
        <f t="shared" ref="E1256:F1256" si="215">E1257</f>
        <v>25000</v>
      </c>
      <c r="F1256" s="549">
        <f t="shared" si="215"/>
        <v>15000</v>
      </c>
      <c r="G1256" s="1424">
        <f t="shared" si="210"/>
        <v>0.6</v>
      </c>
    </row>
    <row r="1257" spans="1:7" ht="17.100000000000001" customHeight="1">
      <c r="A1257" s="548"/>
      <c r="B1257" s="746"/>
      <c r="C1257" s="2928" t="s">
        <v>524</v>
      </c>
      <c r="D1257" s="2934"/>
      <c r="E1257" s="1436">
        <f>SUM(E1258:E1258)</f>
        <v>25000</v>
      </c>
      <c r="F1257" s="1436">
        <f t="shared" ref="F1257" si="216">SUM(F1258:F1258)</f>
        <v>15000</v>
      </c>
      <c r="G1257" s="1437">
        <f t="shared" si="210"/>
        <v>0.6</v>
      </c>
    </row>
    <row r="1258" spans="1:7" ht="17.100000000000001" customHeight="1" thickBot="1">
      <c r="A1258" s="548"/>
      <c r="B1258" s="746"/>
      <c r="C1258" s="1933" t="s">
        <v>525</v>
      </c>
      <c r="D1258" s="1669" t="s">
        <v>571</v>
      </c>
      <c r="E1258" s="1436">
        <v>25000</v>
      </c>
      <c r="F1258" s="1436">
        <v>15000</v>
      </c>
      <c r="G1258" s="1437">
        <f t="shared" si="210"/>
        <v>0.6</v>
      </c>
    </row>
    <row r="1259" spans="1:7" ht="17.100000000000001" hidden="1" customHeight="1" thickBot="1">
      <c r="A1259" s="548"/>
      <c r="B1259" s="746"/>
      <c r="C1259" s="1633"/>
      <c r="D1259" s="1644"/>
      <c r="E1259" s="564"/>
      <c r="F1259" s="564"/>
      <c r="G1259" s="1497"/>
    </row>
    <row r="1260" spans="1:7" ht="17.100000000000001" customHeight="1" thickBot="1">
      <c r="A1260" s="548"/>
      <c r="B1260" s="559" t="s">
        <v>782</v>
      </c>
      <c r="C1260" s="560"/>
      <c r="D1260" s="561" t="s">
        <v>379</v>
      </c>
      <c r="E1260" s="562">
        <f>E1261+E1317</f>
        <v>9930687</v>
      </c>
      <c r="F1260" s="562">
        <f>F1261+F1317</f>
        <v>9572788</v>
      </c>
      <c r="G1260" s="1478">
        <f t="shared" si="210"/>
        <v>0.96396029801362182</v>
      </c>
    </row>
    <row r="1261" spans="1:7" ht="17.100000000000001" customHeight="1">
      <c r="A1261" s="548"/>
      <c r="B1261" s="746"/>
      <c r="C1261" s="2853" t="s">
        <v>470</v>
      </c>
      <c r="D1261" s="2853"/>
      <c r="E1261" s="549">
        <f>E1262+E1282+E1285</f>
        <v>9866687</v>
      </c>
      <c r="F1261" s="549">
        <f>F1262+F1282+F1285</f>
        <v>9498788</v>
      </c>
      <c r="G1261" s="1424">
        <f t="shared" si="210"/>
        <v>0.96271301603060888</v>
      </c>
    </row>
    <row r="1262" spans="1:7" ht="17.100000000000001" customHeight="1">
      <c r="A1262" s="548"/>
      <c r="B1262" s="746"/>
      <c r="C1262" s="2899" t="s">
        <v>471</v>
      </c>
      <c r="D1262" s="2899"/>
      <c r="E1262" s="1436">
        <f t="shared" ref="E1262:F1262" si="217">E1263+E1270</f>
        <v>8559249</v>
      </c>
      <c r="F1262" s="1436">
        <f t="shared" si="217"/>
        <v>9191881</v>
      </c>
      <c r="G1262" s="1437">
        <f t="shared" si="210"/>
        <v>1.0739120920538705</v>
      </c>
    </row>
    <row r="1263" spans="1:7" ht="17.100000000000001" customHeight="1">
      <c r="A1263" s="548"/>
      <c r="B1263" s="746"/>
      <c r="C1263" s="2950" t="s">
        <v>472</v>
      </c>
      <c r="D1263" s="2950"/>
      <c r="E1263" s="1461">
        <f t="shared" ref="E1263:F1263" si="218">SUM(E1264:E1268)</f>
        <v>7883516</v>
      </c>
      <c r="F1263" s="1461">
        <f t="shared" si="218"/>
        <v>8675345</v>
      </c>
      <c r="G1263" s="1462">
        <f t="shared" si="210"/>
        <v>1.1004410976016286</v>
      </c>
    </row>
    <row r="1264" spans="1:7" ht="17.100000000000001" customHeight="1">
      <c r="A1264" s="548"/>
      <c r="B1264" s="746"/>
      <c r="C1264" s="1824" t="s">
        <v>473</v>
      </c>
      <c r="D1264" s="1696" t="s">
        <v>474</v>
      </c>
      <c r="E1264" s="1436">
        <v>6146942</v>
      </c>
      <c r="F1264" s="1436">
        <v>6667676</v>
      </c>
      <c r="G1264" s="1437">
        <f t="shared" si="210"/>
        <v>1.084714318111347</v>
      </c>
    </row>
    <row r="1265" spans="1:7" ht="17.100000000000001" customHeight="1">
      <c r="A1265" s="548"/>
      <c r="B1265" s="746"/>
      <c r="C1265" s="1824" t="s">
        <v>475</v>
      </c>
      <c r="D1265" s="1696" t="s">
        <v>476</v>
      </c>
      <c r="E1265" s="1436">
        <v>493436</v>
      </c>
      <c r="F1265" s="1436">
        <v>582766</v>
      </c>
      <c r="G1265" s="1437">
        <f t="shared" si="210"/>
        <v>1.1810366491297757</v>
      </c>
    </row>
    <row r="1266" spans="1:7" ht="17.100000000000001" customHeight="1">
      <c r="A1266" s="548"/>
      <c r="B1266" s="746"/>
      <c r="C1266" s="1824" t="s">
        <v>477</v>
      </c>
      <c r="D1266" s="1696" t="s">
        <v>478</v>
      </c>
      <c r="E1266" s="1436">
        <v>1110148</v>
      </c>
      <c r="F1266" s="1436">
        <v>1246618</v>
      </c>
      <c r="G1266" s="1437">
        <f t="shared" si="210"/>
        <v>1.1229295553385674</v>
      </c>
    </row>
    <row r="1267" spans="1:7" ht="17.100000000000001" customHeight="1">
      <c r="A1267" s="548"/>
      <c r="B1267" s="746"/>
      <c r="C1267" s="1924" t="s">
        <v>479</v>
      </c>
      <c r="D1267" s="1930" t="s">
        <v>480</v>
      </c>
      <c r="E1267" s="1436">
        <v>129990</v>
      </c>
      <c r="F1267" s="1436">
        <v>178285</v>
      </c>
      <c r="G1267" s="1437">
        <f t="shared" si="210"/>
        <v>1.3715285791214709</v>
      </c>
    </row>
    <row r="1268" spans="1:7" ht="17.100000000000001" hidden="1" customHeight="1">
      <c r="A1268" s="548"/>
      <c r="B1268" s="746"/>
      <c r="C1268" s="1668" t="s">
        <v>481</v>
      </c>
      <c r="D1268" s="1934" t="s">
        <v>482</v>
      </c>
      <c r="E1268" s="1436">
        <v>3000</v>
      </c>
      <c r="F1268" s="1436">
        <v>0</v>
      </c>
      <c r="G1268" s="1437">
        <f t="shared" si="210"/>
        <v>0</v>
      </c>
    </row>
    <row r="1269" spans="1:7" ht="17.100000000000001" customHeight="1">
      <c r="A1269" s="548"/>
      <c r="B1269" s="746"/>
      <c r="C1269" s="553"/>
      <c r="D1269" s="553"/>
      <c r="E1269" s="550"/>
      <c r="F1269" s="550"/>
      <c r="G1269" s="1433"/>
    </row>
    <row r="1270" spans="1:7" ht="17.100000000000001" customHeight="1">
      <c r="A1270" s="548"/>
      <c r="B1270" s="746"/>
      <c r="C1270" s="2954" t="s">
        <v>483</v>
      </c>
      <c r="D1270" s="2954"/>
      <c r="E1270" s="1461">
        <f>SUM(E1271:E1280)</f>
        <v>675733</v>
      </c>
      <c r="F1270" s="1461">
        <f>SUM(F1271:F1280)</f>
        <v>516536</v>
      </c>
      <c r="G1270" s="1462">
        <f t="shared" si="210"/>
        <v>0.7644084275890034</v>
      </c>
    </row>
    <row r="1271" spans="1:7" ht="17.100000000000001" customHeight="1">
      <c r="A1271" s="548"/>
      <c r="B1271" s="746"/>
      <c r="C1271" s="1824" t="s">
        <v>484</v>
      </c>
      <c r="D1271" s="1696" t="s">
        <v>485</v>
      </c>
      <c r="E1271" s="1436">
        <v>93252</v>
      </c>
      <c r="F1271" s="1436">
        <v>124561</v>
      </c>
      <c r="G1271" s="1437">
        <f t="shared" si="210"/>
        <v>1.3357461502166172</v>
      </c>
    </row>
    <row r="1272" spans="1:7" ht="17.100000000000001" hidden="1" customHeight="1">
      <c r="A1272" s="548"/>
      <c r="B1272" s="746"/>
      <c r="C1272" s="1824" t="s">
        <v>486</v>
      </c>
      <c r="D1272" s="1696" t="s">
        <v>487</v>
      </c>
      <c r="E1272" s="1436">
        <v>700</v>
      </c>
      <c r="F1272" s="1436">
        <v>0</v>
      </c>
      <c r="G1272" s="1437">
        <f t="shared" si="210"/>
        <v>0</v>
      </c>
    </row>
    <row r="1273" spans="1:7" ht="17.100000000000001" customHeight="1">
      <c r="A1273" s="548"/>
      <c r="B1273" s="746"/>
      <c r="C1273" s="1824" t="s">
        <v>490</v>
      </c>
      <c r="D1273" s="1696" t="s">
        <v>491</v>
      </c>
      <c r="E1273" s="1436">
        <v>77061</v>
      </c>
      <c r="F1273" s="1436">
        <v>77061</v>
      </c>
      <c r="G1273" s="1437">
        <f t="shared" si="210"/>
        <v>1</v>
      </c>
    </row>
    <row r="1274" spans="1:7" ht="17.100000000000001" hidden="1" customHeight="1">
      <c r="A1274" s="548"/>
      <c r="B1274" s="746"/>
      <c r="C1274" s="1824" t="s">
        <v>492</v>
      </c>
      <c r="D1274" s="1696" t="s">
        <v>493</v>
      </c>
      <c r="E1274" s="1436">
        <v>20000</v>
      </c>
      <c r="F1274" s="1436">
        <v>0</v>
      </c>
      <c r="G1274" s="1437">
        <f t="shared" si="210"/>
        <v>0</v>
      </c>
    </row>
    <row r="1275" spans="1:7" ht="17.100000000000001" customHeight="1">
      <c r="A1275" s="548"/>
      <c r="B1275" s="746"/>
      <c r="C1275" s="1824" t="s">
        <v>494</v>
      </c>
      <c r="D1275" s="1696" t="s">
        <v>495</v>
      </c>
      <c r="E1275" s="1436">
        <v>18133</v>
      </c>
      <c r="F1275" s="1436">
        <v>15100</v>
      </c>
      <c r="G1275" s="1437">
        <f t="shared" si="210"/>
        <v>0.83273589588043895</v>
      </c>
    </row>
    <row r="1276" spans="1:7" ht="17.100000000000001" customHeight="1">
      <c r="A1276" s="548"/>
      <c r="B1276" s="746"/>
      <c r="C1276" s="1824" t="s">
        <v>496</v>
      </c>
      <c r="D1276" s="1696" t="s">
        <v>497</v>
      </c>
      <c r="E1276" s="1436">
        <v>27680</v>
      </c>
      <c r="F1276" s="1436">
        <v>10470</v>
      </c>
      <c r="G1276" s="1437">
        <f t="shared" si="210"/>
        <v>0.37825144508670522</v>
      </c>
    </row>
    <row r="1277" spans="1:7" ht="17.100000000000001" customHeight="1">
      <c r="A1277" s="548"/>
      <c r="B1277" s="746"/>
      <c r="C1277" s="1824" t="s">
        <v>504</v>
      </c>
      <c r="D1277" s="1696" t="s">
        <v>505</v>
      </c>
      <c r="E1277" s="1436">
        <v>26504</v>
      </c>
      <c r="F1277" s="1436">
        <v>26504</v>
      </c>
      <c r="G1277" s="1437">
        <f t="shared" si="210"/>
        <v>1</v>
      </c>
    </row>
    <row r="1278" spans="1:7" ht="17.100000000000001" hidden="1" customHeight="1">
      <c r="A1278" s="548"/>
      <c r="B1278" s="746"/>
      <c r="C1278" s="1824" t="s">
        <v>506</v>
      </c>
      <c r="D1278" s="1696" t="s">
        <v>507</v>
      </c>
      <c r="E1278" s="1436"/>
      <c r="F1278" s="1436"/>
      <c r="G1278" s="1437" t="e">
        <f t="shared" si="210"/>
        <v>#DIV/0!</v>
      </c>
    </row>
    <row r="1279" spans="1:7" ht="17.100000000000001" customHeight="1">
      <c r="A1279" s="548"/>
      <c r="B1279" s="746"/>
      <c r="C1279" s="1824" t="s">
        <v>508</v>
      </c>
      <c r="D1279" s="1696" t="s">
        <v>509</v>
      </c>
      <c r="E1279" s="1436">
        <v>243014</v>
      </c>
      <c r="F1279" s="1436">
        <v>251751</v>
      </c>
      <c r="G1279" s="1437">
        <f t="shared" si="210"/>
        <v>1.0359526611635543</v>
      </c>
    </row>
    <row r="1280" spans="1:7" ht="17.100000000000001" customHeight="1">
      <c r="A1280" s="548"/>
      <c r="B1280" s="746"/>
      <c r="C1280" s="1824" t="s">
        <v>518</v>
      </c>
      <c r="D1280" s="1696" t="s">
        <v>519</v>
      </c>
      <c r="E1280" s="1436">
        <v>169389</v>
      </c>
      <c r="F1280" s="1436">
        <v>11089</v>
      </c>
      <c r="G1280" s="1437">
        <f t="shared" si="210"/>
        <v>6.5464699596786094E-2</v>
      </c>
    </row>
    <row r="1281" spans="1:7" ht="17.100000000000001" customHeight="1">
      <c r="A1281" s="548"/>
      <c r="B1281" s="746"/>
      <c r="C1281" s="553"/>
      <c r="D1281" s="553"/>
      <c r="E1281" s="550"/>
      <c r="F1281" s="550"/>
      <c r="G1281" s="1433"/>
    </row>
    <row r="1282" spans="1:7" ht="17.100000000000001" customHeight="1">
      <c r="A1282" s="548"/>
      <c r="B1282" s="746"/>
      <c r="C1282" s="2967" t="s">
        <v>711</v>
      </c>
      <c r="D1282" s="2967"/>
      <c r="E1282" s="1935">
        <f t="shared" ref="E1282:F1282" si="219">E1283</f>
        <v>14600</v>
      </c>
      <c r="F1282" s="1935">
        <f t="shared" si="219"/>
        <v>14600</v>
      </c>
      <c r="G1282" s="1936">
        <f t="shared" ref="G1282:G1347" si="220">F1282/E1282</f>
        <v>1</v>
      </c>
    </row>
    <row r="1283" spans="1:7" ht="17.100000000000001" customHeight="1">
      <c r="A1283" s="548"/>
      <c r="B1283" s="746"/>
      <c r="C1283" s="1937" t="s">
        <v>521</v>
      </c>
      <c r="D1283" s="1673" t="s">
        <v>522</v>
      </c>
      <c r="E1283" s="1651">
        <v>14600</v>
      </c>
      <c r="F1283" s="1651">
        <v>14600</v>
      </c>
      <c r="G1283" s="1437">
        <f t="shared" si="220"/>
        <v>1</v>
      </c>
    </row>
    <row r="1284" spans="1:7">
      <c r="A1284" s="548"/>
      <c r="B1284" s="746"/>
      <c r="C1284" s="1938"/>
      <c r="D1284" s="1939"/>
      <c r="E1284" s="1651"/>
      <c r="F1284" s="1651"/>
      <c r="G1284" s="1437"/>
    </row>
    <row r="1285" spans="1:7" ht="17.25" customHeight="1">
      <c r="A1285" s="548"/>
      <c r="B1285" s="746"/>
      <c r="C1285" s="2905" t="s">
        <v>536</v>
      </c>
      <c r="D1285" s="2906"/>
      <c r="E1285" s="564">
        <f>SUM(E1286:E1315)</f>
        <v>1292838</v>
      </c>
      <c r="F1285" s="564">
        <f t="shared" ref="F1285" si="221">SUM(F1286:F1315)</f>
        <v>292307</v>
      </c>
      <c r="G1285" s="1497">
        <f t="shared" si="220"/>
        <v>0.22609715989164922</v>
      </c>
    </row>
    <row r="1286" spans="1:7" ht="54" hidden="1" customHeight="1">
      <c r="A1286" s="548"/>
      <c r="B1286" s="746"/>
      <c r="C1286" s="1940" t="s">
        <v>381</v>
      </c>
      <c r="D1286" s="1941" t="s">
        <v>783</v>
      </c>
      <c r="E1286" s="1436">
        <v>19853</v>
      </c>
      <c r="F1286" s="1436">
        <v>0</v>
      </c>
      <c r="G1286" s="1437">
        <f t="shared" si="220"/>
        <v>0</v>
      </c>
    </row>
    <row r="1287" spans="1:7" ht="51" hidden="1">
      <c r="A1287" s="548"/>
      <c r="B1287" s="746"/>
      <c r="C1287" s="1942" t="s">
        <v>303</v>
      </c>
      <c r="D1287" s="1941" t="s">
        <v>783</v>
      </c>
      <c r="E1287" s="1436">
        <v>4790</v>
      </c>
      <c r="F1287" s="1436">
        <v>0</v>
      </c>
      <c r="G1287" s="1437">
        <f t="shared" si="220"/>
        <v>0</v>
      </c>
    </row>
    <row r="1288" spans="1:7" ht="15.75" hidden="1" customHeight="1">
      <c r="A1288" s="548"/>
      <c r="B1288" s="746"/>
      <c r="C1288" s="1943" t="s">
        <v>595</v>
      </c>
      <c r="D1288" s="1941" t="s">
        <v>594</v>
      </c>
      <c r="E1288" s="1436">
        <v>250692</v>
      </c>
      <c r="F1288" s="1436">
        <v>0</v>
      </c>
      <c r="G1288" s="1437">
        <f t="shared" si="220"/>
        <v>0</v>
      </c>
    </row>
    <row r="1289" spans="1:7" ht="17.100000000000001" hidden="1" customHeight="1">
      <c r="A1289" s="548"/>
      <c r="B1289" s="746"/>
      <c r="C1289" s="1943" t="s">
        <v>784</v>
      </c>
      <c r="D1289" s="1941" t="s">
        <v>522</v>
      </c>
      <c r="E1289" s="1436">
        <v>283</v>
      </c>
      <c r="F1289" s="1436">
        <v>0</v>
      </c>
      <c r="G1289" s="1437">
        <f t="shared" si="220"/>
        <v>0</v>
      </c>
    </row>
    <row r="1290" spans="1:7" ht="17.100000000000001" hidden="1" customHeight="1">
      <c r="A1290" s="548"/>
      <c r="B1290" s="746"/>
      <c r="C1290" s="1943" t="s">
        <v>688</v>
      </c>
      <c r="D1290" s="1941" t="s">
        <v>522</v>
      </c>
      <c r="E1290" s="1436">
        <v>17</v>
      </c>
      <c r="F1290" s="1436">
        <v>0</v>
      </c>
      <c r="G1290" s="1437">
        <f t="shared" si="220"/>
        <v>0</v>
      </c>
    </row>
    <row r="1291" spans="1:7" ht="17.100000000000001" customHeight="1">
      <c r="A1291" s="548"/>
      <c r="B1291" s="746"/>
      <c r="C1291" s="1824" t="s">
        <v>596</v>
      </c>
      <c r="D1291" s="1696" t="s">
        <v>474</v>
      </c>
      <c r="E1291" s="1436">
        <v>221425</v>
      </c>
      <c r="F1291" s="1436">
        <v>22864</v>
      </c>
      <c r="G1291" s="1437">
        <f t="shared" si="220"/>
        <v>0.10325843965225245</v>
      </c>
    </row>
    <row r="1292" spans="1:7" ht="17.100000000000001" customHeight="1">
      <c r="A1292" s="548"/>
      <c r="B1292" s="746"/>
      <c r="C1292" s="1824" t="s">
        <v>541</v>
      </c>
      <c r="D1292" s="1696" t="s">
        <v>474</v>
      </c>
      <c r="E1292" s="1436">
        <v>24779</v>
      </c>
      <c r="F1292" s="1436">
        <v>4050</v>
      </c>
      <c r="G1292" s="1437">
        <f t="shared" si="220"/>
        <v>0.16344485249606522</v>
      </c>
    </row>
    <row r="1293" spans="1:7" ht="17.100000000000001" customHeight="1">
      <c r="A1293" s="548"/>
      <c r="B1293" s="746"/>
      <c r="C1293" s="1824" t="s">
        <v>598</v>
      </c>
      <c r="D1293" s="1696" t="s">
        <v>478</v>
      </c>
      <c r="E1293" s="1436">
        <v>37299</v>
      </c>
      <c r="F1293" s="1436">
        <v>3891</v>
      </c>
      <c r="G1293" s="1437">
        <f t="shared" si="220"/>
        <v>0.10431915064747044</v>
      </c>
    </row>
    <row r="1294" spans="1:7" ht="17.100000000000001" customHeight="1">
      <c r="A1294" s="548"/>
      <c r="B1294" s="746"/>
      <c r="C1294" s="1824" t="s">
        <v>545</v>
      </c>
      <c r="D1294" s="1696" t="s">
        <v>478</v>
      </c>
      <c r="E1294" s="1436">
        <v>4256</v>
      </c>
      <c r="F1294" s="1436">
        <v>691</v>
      </c>
      <c r="G1294" s="1437">
        <f t="shared" si="220"/>
        <v>0.16235902255639098</v>
      </c>
    </row>
    <row r="1295" spans="1:7" ht="27" customHeight="1">
      <c r="A1295" s="548"/>
      <c r="B1295" s="746"/>
      <c r="C1295" s="1824" t="s">
        <v>599</v>
      </c>
      <c r="D1295" s="1696" t="s">
        <v>1028</v>
      </c>
      <c r="E1295" s="1436">
        <v>5774</v>
      </c>
      <c r="F1295" s="1436">
        <v>560</v>
      </c>
      <c r="G1295" s="1437">
        <f t="shared" si="220"/>
        <v>9.6986491167301694E-2</v>
      </c>
    </row>
    <row r="1296" spans="1:7" ht="28.5" customHeight="1">
      <c r="A1296" s="548"/>
      <c r="B1296" s="746"/>
      <c r="C1296" s="1824" t="s">
        <v>547</v>
      </c>
      <c r="D1296" s="1696" t="s">
        <v>1028</v>
      </c>
      <c r="E1296" s="1436">
        <v>666</v>
      </c>
      <c r="F1296" s="1436">
        <v>99</v>
      </c>
      <c r="G1296" s="1437">
        <f t="shared" si="220"/>
        <v>0.14864864864864866</v>
      </c>
    </row>
    <row r="1297" spans="1:7" ht="17.100000000000001" hidden="1" customHeight="1">
      <c r="A1297" s="548"/>
      <c r="B1297" s="746"/>
      <c r="C1297" s="1824" t="s">
        <v>673</v>
      </c>
      <c r="D1297" s="1696" t="s">
        <v>482</v>
      </c>
      <c r="E1297" s="1436">
        <v>56941</v>
      </c>
      <c r="F1297" s="1436">
        <v>0</v>
      </c>
      <c r="G1297" s="1437">
        <f t="shared" si="220"/>
        <v>0</v>
      </c>
    </row>
    <row r="1298" spans="1:7" ht="17.100000000000001" hidden="1" customHeight="1">
      <c r="A1298" s="548"/>
      <c r="B1298" s="746"/>
      <c r="C1298" s="1824" t="s">
        <v>549</v>
      </c>
      <c r="D1298" s="1696" t="s">
        <v>482</v>
      </c>
      <c r="E1298" s="1436">
        <v>9379</v>
      </c>
      <c r="F1298" s="1436">
        <v>0</v>
      </c>
      <c r="G1298" s="1437">
        <f t="shared" si="220"/>
        <v>0</v>
      </c>
    </row>
    <row r="1299" spans="1:7" ht="17.100000000000001" customHeight="1">
      <c r="A1299" s="548"/>
      <c r="B1299" s="746"/>
      <c r="C1299" s="1824" t="s">
        <v>600</v>
      </c>
      <c r="D1299" s="1696" t="s">
        <v>487</v>
      </c>
      <c r="E1299" s="1436">
        <v>53422</v>
      </c>
      <c r="F1299" s="1436">
        <v>7354</v>
      </c>
      <c r="G1299" s="1437">
        <f t="shared" si="220"/>
        <v>0.13765864250683238</v>
      </c>
    </row>
    <row r="1300" spans="1:7" ht="17.100000000000001" customHeight="1">
      <c r="A1300" s="548"/>
      <c r="B1300" s="746"/>
      <c r="C1300" s="1824" t="s">
        <v>554</v>
      </c>
      <c r="D1300" s="1696" t="s">
        <v>487</v>
      </c>
      <c r="E1300" s="1436">
        <v>6545</v>
      </c>
      <c r="F1300" s="1436">
        <v>1327</v>
      </c>
      <c r="G1300" s="1437">
        <f t="shared" si="220"/>
        <v>0.20275019098548511</v>
      </c>
    </row>
    <row r="1301" spans="1:7" ht="17.100000000000001" hidden="1" customHeight="1">
      <c r="A1301" s="548"/>
      <c r="B1301" s="746"/>
      <c r="C1301" s="1824" t="s">
        <v>785</v>
      </c>
      <c r="D1301" s="1696" t="s">
        <v>489</v>
      </c>
      <c r="E1301" s="1436">
        <v>4723</v>
      </c>
      <c r="F1301" s="1436">
        <v>0</v>
      </c>
      <c r="G1301" s="1437">
        <f t="shared" si="220"/>
        <v>0</v>
      </c>
    </row>
    <row r="1302" spans="1:7" ht="17.100000000000001" hidden="1" customHeight="1">
      <c r="A1302" s="548"/>
      <c r="B1302" s="746"/>
      <c r="C1302" s="1824" t="s">
        <v>718</v>
      </c>
      <c r="D1302" s="1696" t="s">
        <v>489</v>
      </c>
      <c r="E1302" s="1436">
        <v>277</v>
      </c>
      <c r="F1302" s="1436">
        <v>0</v>
      </c>
      <c r="G1302" s="1437">
        <f t="shared" si="220"/>
        <v>0</v>
      </c>
    </row>
    <row r="1303" spans="1:7" ht="17.100000000000001" customHeight="1">
      <c r="A1303" s="548"/>
      <c r="B1303" s="746"/>
      <c r="C1303" s="1824" t="s">
        <v>780</v>
      </c>
      <c r="D1303" s="1696" t="s">
        <v>664</v>
      </c>
      <c r="E1303" s="1436">
        <v>119981</v>
      </c>
      <c r="F1303" s="1436">
        <v>23119</v>
      </c>
      <c r="G1303" s="1437">
        <f t="shared" si="220"/>
        <v>0.19268884240004666</v>
      </c>
    </row>
    <row r="1304" spans="1:7" ht="17.100000000000001" customHeight="1">
      <c r="A1304" s="548"/>
      <c r="B1304" s="746"/>
      <c r="C1304" s="1824" t="s">
        <v>781</v>
      </c>
      <c r="D1304" s="1696" t="s">
        <v>664</v>
      </c>
      <c r="E1304" s="1436">
        <v>6686</v>
      </c>
      <c r="F1304" s="1436">
        <v>4081</v>
      </c>
      <c r="G1304" s="1437">
        <f t="shared" si="220"/>
        <v>0.61037989829494466</v>
      </c>
    </row>
    <row r="1305" spans="1:7" ht="17.100000000000001" customHeight="1">
      <c r="A1305" s="548"/>
      <c r="B1305" s="746"/>
      <c r="C1305" s="1824" t="s">
        <v>786</v>
      </c>
      <c r="D1305" s="1696" t="s">
        <v>491</v>
      </c>
      <c r="E1305" s="1436">
        <v>17480</v>
      </c>
      <c r="F1305" s="1436">
        <v>5486</v>
      </c>
      <c r="G1305" s="1437">
        <f t="shared" si="220"/>
        <v>0.31384439359267735</v>
      </c>
    </row>
    <row r="1306" spans="1:7" ht="17.100000000000001" customHeight="1">
      <c r="A1306" s="548"/>
      <c r="B1306" s="746"/>
      <c r="C1306" s="1824" t="s">
        <v>693</v>
      </c>
      <c r="D1306" s="1696" t="s">
        <v>491</v>
      </c>
      <c r="E1306" s="1436">
        <v>1020</v>
      </c>
      <c r="F1306" s="1436">
        <v>969</v>
      </c>
      <c r="G1306" s="1437">
        <f t="shared" si="220"/>
        <v>0.95</v>
      </c>
    </row>
    <row r="1307" spans="1:7" ht="17.100000000000001" customHeight="1">
      <c r="A1307" s="548"/>
      <c r="B1307" s="746"/>
      <c r="C1307" s="1824" t="s">
        <v>601</v>
      </c>
      <c r="D1307" s="1696" t="s">
        <v>497</v>
      </c>
      <c r="E1307" s="1436">
        <v>363466</v>
      </c>
      <c r="F1307" s="1436">
        <v>183381</v>
      </c>
      <c r="G1307" s="1437">
        <f t="shared" si="220"/>
        <v>0.50453412423720512</v>
      </c>
    </row>
    <row r="1308" spans="1:7" ht="17.100000000000001" customHeight="1">
      <c r="A1308" s="548"/>
      <c r="B1308" s="746"/>
      <c r="C1308" s="1824" t="s">
        <v>558</v>
      </c>
      <c r="D1308" s="1696" t="s">
        <v>497</v>
      </c>
      <c r="E1308" s="1436">
        <v>39527</v>
      </c>
      <c r="F1308" s="1436">
        <v>32797</v>
      </c>
      <c r="G1308" s="1437">
        <f t="shared" si="220"/>
        <v>0.82973663571735778</v>
      </c>
    </row>
    <row r="1309" spans="1:7" ht="27.75" hidden="1" customHeight="1">
      <c r="A1309" s="548"/>
      <c r="B1309" s="746"/>
      <c r="C1309" s="1824" t="s">
        <v>773</v>
      </c>
      <c r="D1309" s="1696" t="s">
        <v>774</v>
      </c>
      <c r="E1309" s="1436"/>
      <c r="F1309" s="1436">
        <v>0</v>
      </c>
      <c r="G1309" s="1437" t="e">
        <f t="shared" si="220"/>
        <v>#DIV/0!</v>
      </c>
    </row>
    <row r="1310" spans="1:7" ht="25.5" hidden="1">
      <c r="A1310" s="548"/>
      <c r="B1310" s="746"/>
      <c r="C1310" s="1824" t="s">
        <v>787</v>
      </c>
      <c r="D1310" s="1696" t="s">
        <v>788</v>
      </c>
      <c r="E1310" s="1436"/>
      <c r="F1310" s="1436">
        <v>0</v>
      </c>
      <c r="G1310" s="1437" t="e">
        <f t="shared" si="220"/>
        <v>#DIV/0!</v>
      </c>
    </row>
    <row r="1311" spans="1:7" ht="30.75" hidden="1" customHeight="1">
      <c r="A1311" s="548"/>
      <c r="B1311" s="746"/>
      <c r="C1311" s="1824" t="s">
        <v>789</v>
      </c>
      <c r="D1311" s="1696" t="s">
        <v>788</v>
      </c>
      <c r="E1311" s="1436"/>
      <c r="F1311" s="1436">
        <v>0</v>
      </c>
      <c r="G1311" s="1437" t="e">
        <f t="shared" si="220"/>
        <v>#DIV/0!</v>
      </c>
    </row>
    <row r="1312" spans="1:7" ht="17.100000000000001" customHeight="1">
      <c r="A1312" s="548"/>
      <c r="B1312" s="746"/>
      <c r="C1312" s="1824" t="s">
        <v>790</v>
      </c>
      <c r="D1312" s="1696" t="s">
        <v>791</v>
      </c>
      <c r="E1312" s="1436">
        <v>13032</v>
      </c>
      <c r="F1312" s="1436">
        <v>1351</v>
      </c>
      <c r="G1312" s="1437">
        <f t="shared" si="220"/>
        <v>0.10366789441375077</v>
      </c>
    </row>
    <row r="1313" spans="1:7" ht="17.100000000000001" customHeight="1">
      <c r="A1313" s="548"/>
      <c r="B1313" s="746"/>
      <c r="C1313" s="1824" t="s">
        <v>719</v>
      </c>
      <c r="D1313" s="1696" t="s">
        <v>791</v>
      </c>
      <c r="E1313" s="1436">
        <v>1757</v>
      </c>
      <c r="F1313" s="1436">
        <v>242</v>
      </c>
      <c r="G1313" s="1437">
        <f t="shared" si="220"/>
        <v>0.1377347751849744</v>
      </c>
    </row>
    <row r="1314" spans="1:7" ht="17.100000000000001" customHeight="1">
      <c r="A1314" s="548"/>
      <c r="B1314" s="746"/>
      <c r="C1314" s="1863" t="s">
        <v>602</v>
      </c>
      <c r="D1314" s="1864" t="s">
        <v>505</v>
      </c>
      <c r="E1314" s="1436">
        <v>25679</v>
      </c>
      <c r="F1314" s="1436">
        <v>38</v>
      </c>
      <c r="G1314" s="1437">
        <f t="shared" si="220"/>
        <v>1.4798084037540402E-3</v>
      </c>
    </row>
    <row r="1315" spans="1:7" ht="17.100000000000001" customHeight="1">
      <c r="A1315" s="548"/>
      <c r="B1315" s="746"/>
      <c r="C1315" s="1824" t="s">
        <v>562</v>
      </c>
      <c r="D1315" s="1696" t="s">
        <v>505</v>
      </c>
      <c r="E1315" s="1436">
        <v>3089</v>
      </c>
      <c r="F1315" s="1436">
        <v>7</v>
      </c>
      <c r="G1315" s="1437">
        <f t="shared" si="220"/>
        <v>2.2661055357720947E-3</v>
      </c>
    </row>
    <row r="1316" spans="1:7" ht="17.100000000000001" customHeight="1">
      <c r="A1316" s="548"/>
      <c r="B1316" s="746"/>
      <c r="C1316" s="1944"/>
      <c r="D1316" s="1944"/>
      <c r="E1316" s="1945"/>
      <c r="F1316" s="1945"/>
      <c r="G1316" s="1928"/>
    </row>
    <row r="1317" spans="1:7" ht="17.100000000000001" customHeight="1">
      <c r="A1317" s="548"/>
      <c r="B1317" s="746"/>
      <c r="C1317" s="2932" t="s">
        <v>523</v>
      </c>
      <c r="D1317" s="2932"/>
      <c r="E1317" s="1946">
        <f t="shared" ref="E1317:F1317" si="222">E1318</f>
        <v>64000</v>
      </c>
      <c r="F1317" s="1946">
        <f t="shared" si="222"/>
        <v>74000</v>
      </c>
      <c r="G1317" s="1947">
        <f t="shared" si="220"/>
        <v>1.15625</v>
      </c>
    </row>
    <row r="1318" spans="1:7" ht="17.100000000000001" customHeight="1">
      <c r="A1318" s="548"/>
      <c r="B1318" s="746"/>
      <c r="C1318" s="2852" t="s">
        <v>524</v>
      </c>
      <c r="D1318" s="2944"/>
      <c r="E1318" s="564">
        <f>SUM(E1319:E1322)</f>
        <v>64000</v>
      </c>
      <c r="F1318" s="564">
        <f>SUM(F1319:F1322)</f>
        <v>74000</v>
      </c>
      <c r="G1318" s="1497">
        <f t="shared" si="220"/>
        <v>1.15625</v>
      </c>
    </row>
    <row r="1319" spans="1:7" ht="17.100000000000001" customHeight="1">
      <c r="A1319" s="548"/>
      <c r="B1319" s="746"/>
      <c r="C1319" s="1933" t="s">
        <v>531</v>
      </c>
      <c r="D1319" s="1673" t="s">
        <v>526</v>
      </c>
      <c r="E1319" s="564">
        <v>64000</v>
      </c>
      <c r="F1319" s="564">
        <v>50000</v>
      </c>
      <c r="G1319" s="1497">
        <f t="shared" si="220"/>
        <v>0.78125</v>
      </c>
    </row>
    <row r="1320" spans="1:7" ht="17.100000000000001" customHeight="1" thickBot="1">
      <c r="A1320" s="548"/>
      <c r="B1320" s="746"/>
      <c r="C1320" s="1948" t="s">
        <v>525</v>
      </c>
      <c r="D1320" s="1673" t="s">
        <v>571</v>
      </c>
      <c r="E1320" s="564">
        <v>0</v>
      </c>
      <c r="F1320" s="564">
        <v>24000</v>
      </c>
      <c r="G1320" s="1497"/>
    </row>
    <row r="1321" spans="1:7" ht="17.100000000000001" hidden="1" customHeight="1">
      <c r="A1321" s="548"/>
      <c r="B1321" s="746"/>
      <c r="C1321" s="1621" t="s">
        <v>604</v>
      </c>
      <c r="D1321" s="1673" t="s">
        <v>571</v>
      </c>
      <c r="E1321" s="1436"/>
      <c r="F1321" s="1436">
        <v>0</v>
      </c>
      <c r="G1321" s="1437" t="e">
        <f t="shared" si="220"/>
        <v>#DIV/0!</v>
      </c>
    </row>
    <row r="1322" spans="1:7" ht="17.100000000000001" hidden="1" customHeight="1">
      <c r="A1322" s="548"/>
      <c r="B1322" s="746"/>
      <c r="C1322" s="1621" t="s">
        <v>623</v>
      </c>
      <c r="D1322" s="1673" t="s">
        <v>571</v>
      </c>
      <c r="E1322" s="1436"/>
      <c r="F1322" s="1436">
        <v>0</v>
      </c>
      <c r="G1322" s="1437" t="e">
        <f t="shared" si="220"/>
        <v>#DIV/0!</v>
      </c>
    </row>
    <row r="1323" spans="1:7" ht="17.100000000000001" hidden="1" customHeight="1">
      <c r="A1323" s="548"/>
      <c r="B1323" s="746"/>
      <c r="C1323" s="555"/>
      <c r="D1323" s="1456"/>
      <c r="E1323" s="551"/>
      <c r="F1323" s="551"/>
      <c r="G1323" s="1438"/>
    </row>
    <row r="1324" spans="1:7" ht="17.100000000000001" hidden="1" customHeight="1">
      <c r="A1324" s="548"/>
      <c r="B1324" s="746"/>
      <c r="C1324" s="2954" t="s">
        <v>534</v>
      </c>
      <c r="D1324" s="2968"/>
      <c r="E1324" s="1461">
        <f>SUM(E1325:E1326)</f>
        <v>0</v>
      </c>
      <c r="F1324" s="1461">
        <f t="shared" ref="F1324" si="223">SUM(F1325:F1326)</f>
        <v>0</v>
      </c>
      <c r="G1324" s="1462" t="e">
        <f t="shared" si="220"/>
        <v>#DIV/0!</v>
      </c>
    </row>
    <row r="1325" spans="1:7" ht="17.100000000000001" hidden="1" customHeight="1">
      <c r="A1325" s="548"/>
      <c r="B1325" s="746"/>
      <c r="C1325" s="1668" t="s">
        <v>604</v>
      </c>
      <c r="D1325" s="1669" t="s">
        <v>571</v>
      </c>
      <c r="E1325" s="1436"/>
      <c r="F1325" s="1436">
        <v>0</v>
      </c>
      <c r="G1325" s="1437" t="e">
        <f t="shared" si="220"/>
        <v>#DIV/0!</v>
      </c>
    </row>
    <row r="1326" spans="1:7" ht="17.100000000000001" hidden="1" customHeight="1" thickBot="1">
      <c r="A1326" s="548"/>
      <c r="B1326" s="746"/>
      <c r="C1326" s="748" t="s">
        <v>623</v>
      </c>
      <c r="D1326" s="1456" t="s">
        <v>571</v>
      </c>
      <c r="E1326" s="551"/>
      <c r="F1326" s="551">
        <v>0</v>
      </c>
      <c r="G1326" s="1438" t="e">
        <f t="shared" si="220"/>
        <v>#DIV/0!</v>
      </c>
    </row>
    <row r="1327" spans="1:7" ht="17.100000000000001" customHeight="1" thickBot="1">
      <c r="A1327" s="548"/>
      <c r="B1327" s="559" t="s">
        <v>792</v>
      </c>
      <c r="C1327" s="560"/>
      <c r="D1327" s="561" t="s">
        <v>386</v>
      </c>
      <c r="E1327" s="562">
        <f>SUM(E1328+E1365)</f>
        <v>10193148</v>
      </c>
      <c r="F1327" s="562">
        <f t="shared" ref="F1327" si="224">SUM(F1328+F1365)</f>
        <v>11281989</v>
      </c>
      <c r="G1327" s="1478">
        <f t="shared" si="220"/>
        <v>1.1068208761415022</v>
      </c>
    </row>
    <row r="1328" spans="1:7" ht="17.100000000000001" customHeight="1">
      <c r="A1328" s="548"/>
      <c r="B1328" s="746"/>
      <c r="C1328" s="2853" t="s">
        <v>470</v>
      </c>
      <c r="D1328" s="2853"/>
      <c r="E1328" s="549">
        <f>E1329+E1356+E1359</f>
        <v>10193148</v>
      </c>
      <c r="F1328" s="549">
        <f t="shared" ref="F1328" si="225">F1329+F1356+F1359</f>
        <v>11281989</v>
      </c>
      <c r="G1328" s="1424">
        <f t="shared" si="220"/>
        <v>1.1068208761415022</v>
      </c>
    </row>
    <row r="1329" spans="1:7" ht="17.100000000000001" customHeight="1">
      <c r="A1329" s="548"/>
      <c r="B1329" s="746"/>
      <c r="C1329" s="2899" t="s">
        <v>471</v>
      </c>
      <c r="D1329" s="2899"/>
      <c r="E1329" s="1436">
        <f>E1330+E1337</f>
        <v>10181338</v>
      </c>
      <c r="F1329" s="1436">
        <f t="shared" ref="F1329" si="226">F1330+F1337</f>
        <v>11269554</v>
      </c>
      <c r="G1329" s="1437">
        <f t="shared" si="220"/>
        <v>1.1068833978402446</v>
      </c>
    </row>
    <row r="1330" spans="1:7" ht="17.100000000000001" customHeight="1">
      <c r="A1330" s="548"/>
      <c r="B1330" s="746"/>
      <c r="C1330" s="2950" t="s">
        <v>472</v>
      </c>
      <c r="D1330" s="2950"/>
      <c r="E1330" s="1461">
        <f t="shared" ref="E1330:F1330" si="227">SUM(E1331:E1335)</f>
        <v>7856217</v>
      </c>
      <c r="F1330" s="1461">
        <f t="shared" si="227"/>
        <v>8403220</v>
      </c>
      <c r="G1330" s="1462">
        <f t="shared" si="220"/>
        <v>1.0696267682015403</v>
      </c>
    </row>
    <row r="1331" spans="1:7" ht="17.100000000000001" customHeight="1">
      <c r="A1331" s="548"/>
      <c r="B1331" s="746"/>
      <c r="C1331" s="1824" t="s">
        <v>473</v>
      </c>
      <c r="D1331" s="1696" t="s">
        <v>474</v>
      </c>
      <c r="E1331" s="1436">
        <v>6144380</v>
      </c>
      <c r="F1331" s="1436">
        <v>6586354</v>
      </c>
      <c r="G1331" s="1437">
        <f t="shared" si="220"/>
        <v>1.0719314235122177</v>
      </c>
    </row>
    <row r="1332" spans="1:7" ht="17.100000000000001" customHeight="1">
      <c r="A1332" s="548"/>
      <c r="B1332" s="746"/>
      <c r="C1332" s="1824" t="s">
        <v>475</v>
      </c>
      <c r="D1332" s="1696" t="s">
        <v>476</v>
      </c>
      <c r="E1332" s="1436">
        <v>483142</v>
      </c>
      <c r="F1332" s="1436">
        <v>538173</v>
      </c>
      <c r="G1332" s="1437">
        <f t="shared" si="220"/>
        <v>1.1139023309917166</v>
      </c>
    </row>
    <row r="1333" spans="1:7" ht="17.100000000000001" customHeight="1">
      <c r="A1333" s="548"/>
      <c r="B1333" s="746"/>
      <c r="C1333" s="1863" t="s">
        <v>477</v>
      </c>
      <c r="D1333" s="1864" t="s">
        <v>478</v>
      </c>
      <c r="E1333" s="1436">
        <v>1088273</v>
      </c>
      <c r="F1333" s="1436">
        <v>1135141</v>
      </c>
      <c r="G1333" s="1437">
        <f t="shared" si="220"/>
        <v>1.0430663996993401</v>
      </c>
    </row>
    <row r="1334" spans="1:7" ht="27.75" customHeight="1">
      <c r="A1334" s="548"/>
      <c r="B1334" s="746"/>
      <c r="C1334" s="1937" t="s">
        <v>479</v>
      </c>
      <c r="D1334" s="1673" t="s">
        <v>1028</v>
      </c>
      <c r="E1334" s="1436">
        <v>107514</v>
      </c>
      <c r="F1334" s="1436">
        <v>118152</v>
      </c>
      <c r="G1334" s="1437">
        <f t="shared" si="220"/>
        <v>1.0989452536413862</v>
      </c>
    </row>
    <row r="1335" spans="1:7" ht="17.100000000000001" customHeight="1">
      <c r="A1335" s="548"/>
      <c r="B1335" s="746"/>
      <c r="C1335" s="555" t="s">
        <v>481</v>
      </c>
      <c r="D1335" s="1456" t="s">
        <v>482</v>
      </c>
      <c r="E1335" s="1436">
        <v>32908</v>
      </c>
      <c r="F1335" s="1436">
        <v>25400</v>
      </c>
      <c r="G1335" s="1438">
        <f t="shared" si="220"/>
        <v>0.77184879056764311</v>
      </c>
    </row>
    <row r="1336" spans="1:7" ht="17.100000000000001" customHeight="1">
      <c r="A1336" s="548"/>
      <c r="B1336" s="746"/>
      <c r="C1336" s="1949"/>
      <c r="D1336" s="1949"/>
      <c r="E1336" s="1833"/>
      <c r="F1336" s="1833"/>
      <c r="G1336" s="1834"/>
    </row>
    <row r="1337" spans="1:7" ht="17.100000000000001" customHeight="1">
      <c r="A1337" s="548"/>
      <c r="B1337" s="746"/>
      <c r="C1337" s="2954" t="s">
        <v>483</v>
      </c>
      <c r="D1337" s="2954"/>
      <c r="E1337" s="1950">
        <f t="shared" ref="E1337:F1337" si="228">SUM(E1338:E1354)</f>
        <v>2325121</v>
      </c>
      <c r="F1337" s="1950">
        <f t="shared" si="228"/>
        <v>2866334</v>
      </c>
      <c r="G1337" s="1951">
        <f t="shared" si="220"/>
        <v>1.2327676710158311</v>
      </c>
    </row>
    <row r="1338" spans="1:7" ht="17.100000000000001" customHeight="1">
      <c r="A1338" s="548"/>
      <c r="B1338" s="746"/>
      <c r="C1338" s="1668" t="s">
        <v>484</v>
      </c>
      <c r="D1338" s="1669" t="s">
        <v>485</v>
      </c>
      <c r="E1338" s="564">
        <v>43048</v>
      </c>
      <c r="F1338" s="564">
        <v>46230</v>
      </c>
      <c r="G1338" s="1497">
        <f t="shared" si="220"/>
        <v>1.0739174874558632</v>
      </c>
    </row>
    <row r="1339" spans="1:7" ht="17.100000000000001" customHeight="1">
      <c r="A1339" s="548"/>
      <c r="B1339" s="746"/>
      <c r="C1339" s="1824" t="s">
        <v>486</v>
      </c>
      <c r="D1339" s="1696" t="s">
        <v>487</v>
      </c>
      <c r="E1339" s="564">
        <v>230340</v>
      </c>
      <c r="F1339" s="564">
        <v>284779</v>
      </c>
      <c r="G1339" s="1497">
        <f t="shared" si="220"/>
        <v>1.236341929321872</v>
      </c>
    </row>
    <row r="1340" spans="1:7" ht="17.100000000000001" customHeight="1">
      <c r="A1340" s="548"/>
      <c r="B1340" s="746"/>
      <c r="C1340" s="1824" t="s">
        <v>488</v>
      </c>
      <c r="D1340" s="1696" t="s">
        <v>489</v>
      </c>
      <c r="E1340" s="564">
        <v>1100</v>
      </c>
      <c r="F1340" s="564">
        <v>1700</v>
      </c>
      <c r="G1340" s="1497">
        <f t="shared" si="220"/>
        <v>1.5454545454545454</v>
      </c>
    </row>
    <row r="1341" spans="1:7" ht="17.100000000000001" customHeight="1">
      <c r="A1341" s="548"/>
      <c r="B1341" s="746"/>
      <c r="C1341" s="1824" t="s">
        <v>663</v>
      </c>
      <c r="D1341" s="1696" t="s">
        <v>664</v>
      </c>
      <c r="E1341" s="564">
        <v>127890</v>
      </c>
      <c r="F1341" s="564">
        <v>127890</v>
      </c>
      <c r="G1341" s="1497">
        <f t="shared" si="220"/>
        <v>1</v>
      </c>
    </row>
    <row r="1342" spans="1:7" ht="17.100000000000001" customHeight="1">
      <c r="A1342" s="548"/>
      <c r="B1342" s="746"/>
      <c r="C1342" s="1824" t="s">
        <v>490</v>
      </c>
      <c r="D1342" s="1696" t="s">
        <v>491</v>
      </c>
      <c r="E1342" s="564">
        <v>521268</v>
      </c>
      <c r="F1342" s="564">
        <v>528176</v>
      </c>
      <c r="G1342" s="1497">
        <f t="shared" si="220"/>
        <v>1.0132523001603781</v>
      </c>
    </row>
    <row r="1343" spans="1:7" ht="17.100000000000001" customHeight="1">
      <c r="A1343" s="548"/>
      <c r="B1343" s="746"/>
      <c r="C1343" s="1824" t="s">
        <v>492</v>
      </c>
      <c r="D1343" s="1696" t="s">
        <v>493</v>
      </c>
      <c r="E1343" s="564">
        <v>110764</v>
      </c>
      <c r="F1343" s="564">
        <v>584430</v>
      </c>
      <c r="G1343" s="1497">
        <f t="shared" si="220"/>
        <v>5.2763533277960351</v>
      </c>
    </row>
    <row r="1344" spans="1:7" ht="17.100000000000001" customHeight="1">
      <c r="A1344" s="548"/>
      <c r="B1344" s="746"/>
      <c r="C1344" s="1824" t="s">
        <v>494</v>
      </c>
      <c r="D1344" s="1696" t="s">
        <v>495</v>
      </c>
      <c r="E1344" s="564">
        <v>7585</v>
      </c>
      <c r="F1344" s="564">
        <v>10030</v>
      </c>
      <c r="G1344" s="1497">
        <f t="shared" si="220"/>
        <v>1.3223467369808832</v>
      </c>
    </row>
    <row r="1345" spans="1:7" ht="18.75" customHeight="1">
      <c r="A1345" s="548"/>
      <c r="B1345" s="746"/>
      <c r="C1345" s="1924" t="s">
        <v>496</v>
      </c>
      <c r="D1345" s="1886" t="s">
        <v>497</v>
      </c>
      <c r="E1345" s="564">
        <v>422368</v>
      </c>
      <c r="F1345" s="564">
        <v>417597</v>
      </c>
      <c r="G1345" s="1497">
        <f t="shared" si="220"/>
        <v>0.98870416319418142</v>
      </c>
    </row>
    <row r="1346" spans="1:7" ht="30.75" hidden="1" customHeight="1">
      <c r="A1346" s="548"/>
      <c r="B1346" s="746"/>
      <c r="C1346" s="1668" t="s">
        <v>773</v>
      </c>
      <c r="D1346" s="1669" t="s">
        <v>774</v>
      </c>
      <c r="E1346" s="564">
        <v>35600</v>
      </c>
      <c r="F1346" s="564">
        <v>0</v>
      </c>
      <c r="G1346" s="1497">
        <f t="shared" si="220"/>
        <v>0</v>
      </c>
    </row>
    <row r="1347" spans="1:7" ht="16.5" customHeight="1">
      <c r="A1347" s="548"/>
      <c r="B1347" s="746"/>
      <c r="C1347" s="1824" t="s">
        <v>498</v>
      </c>
      <c r="D1347" s="1696" t="s">
        <v>499</v>
      </c>
      <c r="E1347" s="564">
        <v>93238</v>
      </c>
      <c r="F1347" s="564">
        <v>93119</v>
      </c>
      <c r="G1347" s="1497">
        <f t="shared" si="220"/>
        <v>0.99872369634698299</v>
      </c>
    </row>
    <row r="1348" spans="1:7" ht="20.25" customHeight="1">
      <c r="A1348" s="548"/>
      <c r="B1348" s="746"/>
      <c r="C1348" s="1824" t="s">
        <v>502</v>
      </c>
      <c r="D1348" s="1696" t="s">
        <v>503</v>
      </c>
      <c r="E1348" s="564">
        <v>344891</v>
      </c>
      <c r="F1348" s="564">
        <v>365373</v>
      </c>
      <c r="G1348" s="1497">
        <f t="shared" ref="G1348:G1352" si="229">F1348/E1348</f>
        <v>1.0593868787529974</v>
      </c>
    </row>
    <row r="1349" spans="1:7" ht="17.100000000000001" customHeight="1">
      <c r="A1349" s="548"/>
      <c r="B1349" s="746"/>
      <c r="C1349" s="1863" t="s">
        <v>504</v>
      </c>
      <c r="D1349" s="1864" t="s">
        <v>505</v>
      </c>
      <c r="E1349" s="564">
        <v>17461</v>
      </c>
      <c r="F1349" s="564">
        <v>19718</v>
      </c>
      <c r="G1349" s="1497">
        <f t="shared" si="229"/>
        <v>1.1292594925834718</v>
      </c>
    </row>
    <row r="1350" spans="1:7" ht="17.100000000000001" customHeight="1">
      <c r="A1350" s="548"/>
      <c r="B1350" s="746"/>
      <c r="C1350" s="1621" t="s">
        <v>506</v>
      </c>
      <c r="D1350" s="1673" t="s">
        <v>507</v>
      </c>
      <c r="E1350" s="564">
        <v>27892</v>
      </c>
      <c r="F1350" s="564">
        <v>32742</v>
      </c>
      <c r="G1350" s="1497">
        <f t="shared" si="229"/>
        <v>1.1738849849419188</v>
      </c>
    </row>
    <row r="1351" spans="1:7" ht="17.100000000000001" customHeight="1">
      <c r="A1351" s="548"/>
      <c r="B1351" s="746"/>
      <c r="C1351" s="1668" t="s">
        <v>508</v>
      </c>
      <c r="D1351" s="1669" t="s">
        <v>509</v>
      </c>
      <c r="E1351" s="564">
        <v>312288</v>
      </c>
      <c r="F1351" s="564">
        <v>322519</v>
      </c>
      <c r="G1351" s="1497">
        <f t="shared" si="229"/>
        <v>1.0327614253509581</v>
      </c>
    </row>
    <row r="1352" spans="1:7" ht="17.100000000000001" customHeight="1">
      <c r="A1352" s="548"/>
      <c r="B1352" s="746"/>
      <c r="C1352" s="1824" t="s">
        <v>514</v>
      </c>
      <c r="D1352" s="1696" t="s">
        <v>515</v>
      </c>
      <c r="E1352" s="564">
        <v>812</v>
      </c>
      <c r="F1352" s="564">
        <v>812</v>
      </c>
      <c r="G1352" s="1497">
        <f t="shared" si="229"/>
        <v>1</v>
      </c>
    </row>
    <row r="1353" spans="1:7" ht="17.100000000000001" customHeight="1">
      <c r="A1353" s="548"/>
      <c r="B1353" s="746"/>
      <c r="C1353" s="1824" t="s">
        <v>516</v>
      </c>
      <c r="D1353" s="1696" t="s">
        <v>517</v>
      </c>
      <c r="E1353" s="564">
        <v>0</v>
      </c>
      <c r="F1353" s="564">
        <v>5000</v>
      </c>
      <c r="G1353" s="1497"/>
    </row>
    <row r="1354" spans="1:7" ht="17.100000000000001" customHeight="1">
      <c r="A1354" s="548"/>
      <c r="B1354" s="746"/>
      <c r="C1354" s="1824" t="s">
        <v>518</v>
      </c>
      <c r="D1354" s="1696" t="s">
        <v>519</v>
      </c>
      <c r="E1354" s="564">
        <v>28576</v>
      </c>
      <c r="F1354" s="564">
        <v>26219</v>
      </c>
      <c r="G1354" s="1497">
        <f t="shared" ref="G1354:G1422" si="230">F1354/E1354</f>
        <v>0.91751819708846583</v>
      </c>
    </row>
    <row r="1355" spans="1:7" ht="17.100000000000001" customHeight="1">
      <c r="A1355" s="548"/>
      <c r="B1355" s="746"/>
      <c r="C1355" s="553"/>
      <c r="D1355" s="553"/>
      <c r="E1355" s="550"/>
      <c r="F1355" s="550"/>
      <c r="G1355" s="1433"/>
    </row>
    <row r="1356" spans="1:7" ht="17.100000000000001" customHeight="1">
      <c r="A1356" s="548"/>
      <c r="B1356" s="746"/>
      <c r="C1356" s="2964" t="s">
        <v>711</v>
      </c>
      <c r="D1356" s="2964"/>
      <c r="E1356" s="1865">
        <f t="shared" ref="E1356:F1356" si="231">E1357</f>
        <v>11810</v>
      </c>
      <c r="F1356" s="1865">
        <f t="shared" si="231"/>
        <v>12435</v>
      </c>
      <c r="G1356" s="1827">
        <f t="shared" si="230"/>
        <v>1.0529212531752752</v>
      </c>
    </row>
    <row r="1357" spans="1:7" ht="17.100000000000001" customHeight="1" thickBot="1">
      <c r="A1357" s="548"/>
      <c r="B1357" s="746"/>
      <c r="C1357" s="1952" t="s">
        <v>521</v>
      </c>
      <c r="D1357" s="1953" t="s">
        <v>522</v>
      </c>
      <c r="E1357" s="1954">
        <v>11810</v>
      </c>
      <c r="F1357" s="1954">
        <v>12435</v>
      </c>
      <c r="G1357" s="1848">
        <f t="shared" si="230"/>
        <v>1.0529212531752752</v>
      </c>
    </row>
    <row r="1358" spans="1:7" ht="17.100000000000001" hidden="1" customHeight="1" thickBot="1">
      <c r="A1358" s="548"/>
      <c r="B1358" s="746"/>
      <c r="C1358" s="1955"/>
      <c r="D1358" s="1956"/>
      <c r="E1358" s="1945"/>
      <c r="F1358" s="1945"/>
      <c r="G1358" s="1928"/>
    </row>
    <row r="1359" spans="1:7" ht="17.100000000000001" hidden="1" customHeight="1">
      <c r="A1359" s="548"/>
      <c r="B1359" s="746"/>
      <c r="C1359" s="2965" t="s">
        <v>536</v>
      </c>
      <c r="D1359" s="2965"/>
      <c r="E1359" s="1957">
        <f>SUM(E1360:E1363)</f>
        <v>0</v>
      </c>
      <c r="F1359" s="1957">
        <f t="shared" ref="F1359" si="232">SUM(F1360:F1363)</f>
        <v>0</v>
      </c>
      <c r="G1359" s="1958" t="e">
        <f t="shared" si="230"/>
        <v>#DIV/0!</v>
      </c>
    </row>
    <row r="1360" spans="1:7" ht="17.100000000000001" hidden="1" customHeight="1">
      <c r="A1360" s="548"/>
      <c r="B1360" s="746"/>
      <c r="C1360" s="1959" t="s">
        <v>473</v>
      </c>
      <c r="D1360" s="1960" t="s">
        <v>474</v>
      </c>
      <c r="E1360" s="1961"/>
      <c r="F1360" s="1962">
        <v>0</v>
      </c>
      <c r="G1360" s="1963" t="e">
        <f t="shared" si="230"/>
        <v>#DIV/0!</v>
      </c>
    </row>
    <row r="1361" spans="1:7" ht="17.100000000000001" hidden="1" customHeight="1">
      <c r="A1361" s="548"/>
      <c r="B1361" s="746"/>
      <c r="C1361" s="1959" t="s">
        <v>496</v>
      </c>
      <c r="D1361" s="1960" t="s">
        <v>497</v>
      </c>
      <c r="E1361" s="1961"/>
      <c r="F1361" s="1962">
        <v>0</v>
      </c>
      <c r="G1361" s="1963" t="e">
        <f t="shared" si="230"/>
        <v>#DIV/0!</v>
      </c>
    </row>
    <row r="1362" spans="1:7" ht="17.100000000000001" hidden="1" customHeight="1">
      <c r="A1362" s="548"/>
      <c r="B1362" s="746"/>
      <c r="C1362" s="1959" t="s">
        <v>601</v>
      </c>
      <c r="D1362" s="1960" t="s">
        <v>497</v>
      </c>
      <c r="E1362" s="1961"/>
      <c r="F1362" s="1961">
        <v>0</v>
      </c>
      <c r="G1362" s="1964" t="e">
        <f t="shared" si="230"/>
        <v>#DIV/0!</v>
      </c>
    </row>
    <row r="1363" spans="1:7" ht="17.100000000000001" hidden="1" customHeight="1">
      <c r="A1363" s="548"/>
      <c r="B1363" s="746"/>
      <c r="C1363" s="1965" t="s">
        <v>558</v>
      </c>
      <c r="D1363" s="1966" t="s">
        <v>497</v>
      </c>
      <c r="E1363" s="1967"/>
      <c r="F1363" s="1967">
        <v>0</v>
      </c>
      <c r="G1363" s="1968" t="e">
        <f t="shared" si="230"/>
        <v>#DIV/0!</v>
      </c>
    </row>
    <row r="1364" spans="1:7" ht="17.100000000000001" hidden="1" customHeight="1">
      <c r="A1364" s="548"/>
      <c r="B1364" s="746"/>
      <c r="C1364" s="1969"/>
      <c r="D1364" s="1970"/>
      <c r="E1364" s="1971"/>
      <c r="F1364" s="1971"/>
      <c r="G1364" s="1972"/>
    </row>
    <row r="1365" spans="1:7" ht="17.100000000000001" hidden="1" customHeight="1">
      <c r="A1365" s="548"/>
      <c r="B1365" s="746"/>
      <c r="C1365" s="2966" t="s">
        <v>523</v>
      </c>
      <c r="D1365" s="2966"/>
      <c r="E1365" s="1973">
        <f>E1366</f>
        <v>0</v>
      </c>
      <c r="F1365" s="1973">
        <f t="shared" ref="F1365" si="233">F1366</f>
        <v>0</v>
      </c>
      <c r="G1365" s="1974" t="e">
        <f t="shared" si="230"/>
        <v>#DIV/0!</v>
      </c>
    </row>
    <row r="1366" spans="1:7" ht="17.100000000000001" hidden="1" customHeight="1">
      <c r="A1366" s="548"/>
      <c r="B1366" s="746"/>
      <c r="C1366" s="2852" t="s">
        <v>524</v>
      </c>
      <c r="D1366" s="2944"/>
      <c r="E1366" s="564">
        <f>SUM(E1367:E1371)</f>
        <v>0</v>
      </c>
      <c r="F1366" s="564">
        <f>SUM(F1367:F1371)</f>
        <v>0</v>
      </c>
      <c r="G1366" s="1497" t="e">
        <f t="shared" si="230"/>
        <v>#DIV/0!</v>
      </c>
    </row>
    <row r="1367" spans="1:7" ht="17.100000000000001" hidden="1" customHeight="1">
      <c r="A1367" s="548"/>
      <c r="B1367" s="746"/>
      <c r="C1367" s="1975" t="s">
        <v>625</v>
      </c>
      <c r="D1367" s="1976" t="s">
        <v>526</v>
      </c>
      <c r="E1367" s="564"/>
      <c r="F1367" s="564">
        <v>0</v>
      </c>
      <c r="G1367" s="1497" t="e">
        <f t="shared" si="230"/>
        <v>#DIV/0!</v>
      </c>
    </row>
    <row r="1368" spans="1:7" ht="17.100000000000001" hidden="1" customHeight="1">
      <c r="A1368" s="548"/>
      <c r="B1368" s="746"/>
      <c r="C1368" s="1849" t="s">
        <v>626</v>
      </c>
      <c r="D1368" s="1977" t="s">
        <v>526</v>
      </c>
      <c r="E1368" s="564"/>
      <c r="F1368" s="1978">
        <v>0</v>
      </c>
      <c r="G1368" s="1497" t="e">
        <f t="shared" si="230"/>
        <v>#DIV/0!</v>
      </c>
    </row>
    <row r="1369" spans="1:7" ht="17.100000000000001" hidden="1" customHeight="1">
      <c r="A1369" s="548"/>
      <c r="B1369" s="746"/>
      <c r="C1369" s="555" t="s">
        <v>525</v>
      </c>
      <c r="D1369" s="1456" t="s">
        <v>571</v>
      </c>
      <c r="E1369" s="564"/>
      <c r="F1369" s="551">
        <v>0</v>
      </c>
      <c r="G1369" s="1438" t="e">
        <f t="shared" si="230"/>
        <v>#DIV/0!</v>
      </c>
    </row>
    <row r="1370" spans="1:7" ht="17.100000000000001" hidden="1" customHeight="1">
      <c r="A1370" s="548"/>
      <c r="B1370" s="746"/>
      <c r="C1370" s="1979" t="s">
        <v>604</v>
      </c>
      <c r="D1370" s="1980" t="s">
        <v>571</v>
      </c>
      <c r="E1370" s="564"/>
      <c r="F1370" s="1978">
        <v>0</v>
      </c>
      <c r="G1370" s="1981" t="e">
        <f t="shared" si="230"/>
        <v>#DIV/0!</v>
      </c>
    </row>
    <row r="1371" spans="1:7" ht="17.100000000000001" hidden="1" customHeight="1">
      <c r="A1371" s="548"/>
      <c r="B1371" s="746"/>
      <c r="C1371" s="1979" t="s">
        <v>623</v>
      </c>
      <c r="D1371" s="1980" t="s">
        <v>571</v>
      </c>
      <c r="E1371" s="564"/>
      <c r="F1371" s="1978">
        <v>0</v>
      </c>
      <c r="G1371" s="1981" t="e">
        <f t="shared" si="230"/>
        <v>#DIV/0!</v>
      </c>
    </row>
    <row r="1372" spans="1:7" ht="17.100000000000001" hidden="1" customHeight="1">
      <c r="A1372" s="548"/>
      <c r="B1372" s="746"/>
      <c r="C1372" s="555"/>
      <c r="D1372" s="1456"/>
      <c r="E1372" s="551"/>
      <c r="F1372" s="551"/>
      <c r="G1372" s="1981"/>
    </row>
    <row r="1373" spans="1:7" ht="17.100000000000001" hidden="1" customHeight="1">
      <c r="A1373" s="548"/>
      <c r="B1373" s="746"/>
      <c r="C1373" s="2971" t="s">
        <v>534</v>
      </c>
      <c r="D1373" s="2973"/>
      <c r="E1373" s="1982">
        <f>SUM(E1374:E1377)</f>
        <v>0</v>
      </c>
      <c r="F1373" s="1982">
        <f>SUM(F1375:F1377)</f>
        <v>0</v>
      </c>
      <c r="G1373" s="1497" t="e">
        <f t="shared" si="230"/>
        <v>#DIV/0!</v>
      </c>
    </row>
    <row r="1374" spans="1:7" ht="17.100000000000001" hidden="1" customHeight="1">
      <c r="A1374" s="548"/>
      <c r="B1374" s="746"/>
      <c r="C1374" s="1975" t="s">
        <v>625</v>
      </c>
      <c r="D1374" s="1976" t="s">
        <v>526</v>
      </c>
      <c r="E1374" s="1978"/>
      <c r="F1374" s="1978">
        <v>0</v>
      </c>
      <c r="G1374" s="1981" t="e">
        <f t="shared" si="230"/>
        <v>#DIV/0!</v>
      </c>
    </row>
    <row r="1375" spans="1:7" ht="17.100000000000001" hidden="1" customHeight="1">
      <c r="A1375" s="548"/>
      <c r="B1375" s="746"/>
      <c r="C1375" s="1983" t="s">
        <v>626</v>
      </c>
      <c r="D1375" s="1984" t="s">
        <v>526</v>
      </c>
      <c r="E1375" s="1978"/>
      <c r="F1375" s="1978">
        <v>0</v>
      </c>
      <c r="G1375" s="1438" t="e">
        <f t="shared" si="230"/>
        <v>#DIV/0!</v>
      </c>
    </row>
    <row r="1376" spans="1:7" ht="17.100000000000001" hidden="1" customHeight="1">
      <c r="A1376" s="548"/>
      <c r="B1376" s="746"/>
      <c r="C1376" s="1668" t="s">
        <v>604</v>
      </c>
      <c r="D1376" s="1669" t="s">
        <v>571</v>
      </c>
      <c r="E1376" s="1978"/>
      <c r="F1376" s="1978">
        <v>0</v>
      </c>
      <c r="G1376" s="1981" t="e">
        <f t="shared" si="230"/>
        <v>#DIV/0!</v>
      </c>
    </row>
    <row r="1377" spans="1:7" ht="17.100000000000001" hidden="1" customHeight="1" thickBot="1">
      <c r="A1377" s="548"/>
      <c r="B1377" s="746"/>
      <c r="C1377" s="748" t="s">
        <v>623</v>
      </c>
      <c r="D1377" s="1456" t="s">
        <v>571</v>
      </c>
      <c r="E1377" s="1978"/>
      <c r="F1377" s="551"/>
      <c r="G1377" s="1438" t="e">
        <f t="shared" si="230"/>
        <v>#DIV/0!</v>
      </c>
    </row>
    <row r="1378" spans="1:7" ht="17.100000000000001" hidden="1" customHeight="1" thickBot="1">
      <c r="A1378" s="548"/>
      <c r="B1378" s="559" t="s">
        <v>793</v>
      </c>
      <c r="C1378" s="560"/>
      <c r="D1378" s="561" t="s">
        <v>794</v>
      </c>
      <c r="E1378" s="562">
        <f>E1379</f>
        <v>147907</v>
      </c>
      <c r="F1378" s="562">
        <f t="shared" ref="F1378:F1379" si="234">F1379</f>
        <v>0</v>
      </c>
      <c r="G1378" s="1478">
        <f t="shared" si="230"/>
        <v>0</v>
      </c>
    </row>
    <row r="1379" spans="1:7" ht="17.100000000000001" hidden="1" customHeight="1">
      <c r="A1379" s="548"/>
      <c r="B1379" s="746"/>
      <c r="C1379" s="2853" t="s">
        <v>470</v>
      </c>
      <c r="D1379" s="2853"/>
      <c r="E1379" s="549">
        <f>E1380</f>
        <v>147907</v>
      </c>
      <c r="F1379" s="549">
        <f t="shared" si="234"/>
        <v>0</v>
      </c>
      <c r="G1379" s="1424">
        <f t="shared" si="230"/>
        <v>0</v>
      </c>
    </row>
    <row r="1380" spans="1:7" ht="17.100000000000001" hidden="1" customHeight="1">
      <c r="A1380" s="548"/>
      <c r="B1380" s="746"/>
      <c r="C1380" s="2969" t="s">
        <v>471</v>
      </c>
      <c r="D1380" s="2969"/>
      <c r="E1380" s="1978">
        <f>E1381+E1387</f>
        <v>147907</v>
      </c>
      <c r="F1380" s="1978">
        <f t="shared" ref="F1380" si="235">F1381+F1387</f>
        <v>0</v>
      </c>
      <c r="G1380" s="1981">
        <f t="shared" si="230"/>
        <v>0</v>
      </c>
    </row>
    <row r="1381" spans="1:7" ht="17.100000000000001" hidden="1" customHeight="1">
      <c r="A1381" s="548"/>
      <c r="B1381" s="746"/>
      <c r="C1381" s="2970" t="s">
        <v>472</v>
      </c>
      <c r="D1381" s="2970"/>
      <c r="E1381" s="1982">
        <f>SUM(E1382:E1386)</f>
        <v>137507</v>
      </c>
      <c r="F1381" s="1982">
        <f t="shared" ref="F1381" si="236">SUM(F1382:F1386)</f>
        <v>0</v>
      </c>
      <c r="G1381" s="1985">
        <f t="shared" si="230"/>
        <v>0</v>
      </c>
    </row>
    <row r="1382" spans="1:7" ht="17.100000000000001" hidden="1" customHeight="1">
      <c r="A1382" s="548"/>
      <c r="B1382" s="746"/>
      <c r="C1382" s="1959" t="s">
        <v>473</v>
      </c>
      <c r="D1382" s="1960" t="s">
        <v>474</v>
      </c>
      <c r="E1382" s="1978">
        <v>101623</v>
      </c>
      <c r="F1382" s="1978">
        <v>0</v>
      </c>
      <c r="G1382" s="1981">
        <f t="shared" si="230"/>
        <v>0</v>
      </c>
    </row>
    <row r="1383" spans="1:7" ht="17.100000000000001" hidden="1" customHeight="1">
      <c r="A1383" s="548"/>
      <c r="B1383" s="746"/>
      <c r="C1383" s="1965" t="s">
        <v>475</v>
      </c>
      <c r="D1383" s="1966" t="s">
        <v>476</v>
      </c>
      <c r="E1383" s="1978">
        <v>13374</v>
      </c>
      <c r="F1383" s="1978">
        <v>0</v>
      </c>
      <c r="G1383" s="1981">
        <f t="shared" si="230"/>
        <v>0</v>
      </c>
    </row>
    <row r="1384" spans="1:7" ht="17.100000000000001" hidden="1" customHeight="1">
      <c r="A1384" s="548"/>
      <c r="B1384" s="746"/>
      <c r="C1384" s="1965" t="s">
        <v>477</v>
      </c>
      <c r="D1384" s="1966" t="s">
        <v>478</v>
      </c>
      <c r="E1384" s="1978">
        <v>19693</v>
      </c>
      <c r="F1384" s="1978">
        <v>0</v>
      </c>
      <c r="G1384" s="1981">
        <f t="shared" si="230"/>
        <v>0</v>
      </c>
    </row>
    <row r="1385" spans="1:7" ht="30.75" hidden="1" customHeight="1">
      <c r="A1385" s="548"/>
      <c r="B1385" s="746"/>
      <c r="C1385" s="1986" t="s">
        <v>479</v>
      </c>
      <c r="D1385" s="1980" t="s">
        <v>1028</v>
      </c>
      <c r="E1385" s="1978">
        <v>2817</v>
      </c>
      <c r="F1385" s="1978">
        <v>0</v>
      </c>
      <c r="G1385" s="1981">
        <f t="shared" si="230"/>
        <v>0</v>
      </c>
    </row>
    <row r="1386" spans="1:7" ht="17.100000000000001" hidden="1" customHeight="1">
      <c r="A1386" s="548"/>
      <c r="B1386" s="746"/>
      <c r="C1386" s="748"/>
      <c r="D1386" s="1456"/>
      <c r="E1386" s="551"/>
      <c r="F1386" s="551"/>
      <c r="G1386" s="1438"/>
    </row>
    <row r="1387" spans="1:7" ht="17.100000000000001" hidden="1" customHeight="1">
      <c r="A1387" s="548"/>
      <c r="B1387" s="746"/>
      <c r="C1387" s="2971" t="s">
        <v>483</v>
      </c>
      <c r="D1387" s="2971"/>
      <c r="E1387" s="1987">
        <f>SUM(E1388:E1393)</f>
        <v>10400</v>
      </c>
      <c r="F1387" s="1987">
        <f t="shared" ref="F1387" si="237">SUM(F1388:F1393)</f>
        <v>0</v>
      </c>
      <c r="G1387" s="1988">
        <f t="shared" si="230"/>
        <v>0</v>
      </c>
    </row>
    <row r="1388" spans="1:7" ht="17.100000000000001" hidden="1" customHeight="1">
      <c r="A1388" s="548"/>
      <c r="B1388" s="746"/>
      <c r="C1388" s="1668" t="s">
        <v>486</v>
      </c>
      <c r="D1388" s="1669" t="s">
        <v>487</v>
      </c>
      <c r="E1388" s="564">
        <v>2400</v>
      </c>
      <c r="F1388" s="564">
        <v>0</v>
      </c>
      <c r="G1388" s="1497">
        <f t="shared" si="230"/>
        <v>0</v>
      </c>
    </row>
    <row r="1389" spans="1:7" ht="17.100000000000001" hidden="1" customHeight="1">
      <c r="A1389" s="548"/>
      <c r="B1389" s="746"/>
      <c r="C1389" s="1959" t="s">
        <v>663</v>
      </c>
      <c r="D1389" s="1960" t="s">
        <v>664</v>
      </c>
      <c r="E1389" s="564">
        <v>2200</v>
      </c>
      <c r="F1389" s="564">
        <v>0</v>
      </c>
      <c r="G1389" s="1497">
        <f t="shared" si="230"/>
        <v>0</v>
      </c>
    </row>
    <row r="1390" spans="1:7" ht="17.100000000000001" hidden="1" customHeight="1">
      <c r="A1390" s="548"/>
      <c r="B1390" s="746"/>
      <c r="C1390" s="1959" t="s">
        <v>490</v>
      </c>
      <c r="D1390" s="1960" t="s">
        <v>491</v>
      </c>
      <c r="E1390" s="564">
        <v>3700</v>
      </c>
      <c r="F1390" s="564">
        <v>0</v>
      </c>
      <c r="G1390" s="1497">
        <f t="shared" si="230"/>
        <v>0</v>
      </c>
    </row>
    <row r="1391" spans="1:7" ht="17.100000000000001" hidden="1" customHeight="1" thickBot="1">
      <c r="A1391" s="548"/>
      <c r="B1391" s="746"/>
      <c r="C1391" s="1959" t="s">
        <v>496</v>
      </c>
      <c r="D1391" s="1960" t="s">
        <v>497</v>
      </c>
      <c r="E1391" s="564">
        <v>2100</v>
      </c>
      <c r="F1391" s="564">
        <v>0</v>
      </c>
      <c r="G1391" s="1497">
        <f t="shared" si="230"/>
        <v>0</v>
      </c>
    </row>
    <row r="1392" spans="1:7" ht="17.100000000000001" hidden="1" customHeight="1">
      <c r="A1392" s="548"/>
      <c r="B1392" s="746"/>
      <c r="C1392" s="1959" t="s">
        <v>508</v>
      </c>
      <c r="D1392" s="1960" t="s">
        <v>509</v>
      </c>
      <c r="E1392" s="564"/>
      <c r="F1392" s="564"/>
      <c r="G1392" s="1497" t="e">
        <f t="shared" si="230"/>
        <v>#DIV/0!</v>
      </c>
    </row>
    <row r="1393" spans="1:7" ht="17.100000000000001" hidden="1" customHeight="1" thickBot="1">
      <c r="A1393" s="548"/>
      <c r="B1393" s="746"/>
      <c r="C1393" s="1959" t="s">
        <v>514</v>
      </c>
      <c r="D1393" s="1960" t="s">
        <v>515</v>
      </c>
      <c r="E1393" s="564"/>
      <c r="F1393" s="564">
        <v>0</v>
      </c>
      <c r="G1393" s="1497" t="e">
        <f t="shared" si="230"/>
        <v>#DIV/0!</v>
      </c>
    </row>
    <row r="1394" spans="1:7" ht="17.100000000000001" customHeight="1" thickBot="1">
      <c r="A1394" s="548"/>
      <c r="B1394" s="559" t="s">
        <v>795</v>
      </c>
      <c r="C1394" s="560"/>
      <c r="D1394" s="561" t="s">
        <v>239</v>
      </c>
      <c r="E1394" s="562">
        <f>E1395+E1424</f>
        <v>10246710</v>
      </c>
      <c r="F1394" s="562">
        <f>F1395+F1424</f>
        <v>5963319</v>
      </c>
      <c r="G1394" s="1478">
        <f t="shared" si="230"/>
        <v>0.58197401897779877</v>
      </c>
    </row>
    <row r="1395" spans="1:7" ht="17.100000000000001" customHeight="1">
      <c r="A1395" s="548"/>
      <c r="B1395" s="746"/>
      <c r="C1395" s="2853" t="s">
        <v>470</v>
      </c>
      <c r="D1395" s="2853"/>
      <c r="E1395" s="549">
        <f>E1396+E1408+E1415+E1420</f>
        <v>10035771</v>
      </c>
      <c r="F1395" s="549">
        <f t="shared" ref="F1395" si="238">F1396+F1408+F1415+F1420</f>
        <v>5727171</v>
      </c>
      <c r="G1395" s="1424">
        <f t="shared" si="230"/>
        <v>0.570675735825379</v>
      </c>
    </row>
    <row r="1396" spans="1:7" ht="17.100000000000001" customHeight="1">
      <c r="A1396" s="548"/>
      <c r="B1396" s="746"/>
      <c r="C1396" s="2969" t="s">
        <v>471</v>
      </c>
      <c r="D1396" s="2969"/>
      <c r="E1396" s="1978">
        <f t="shared" ref="E1396:F1396" si="239">E1397+E1403</f>
        <v>650498</v>
      </c>
      <c r="F1396" s="1978">
        <f t="shared" si="239"/>
        <v>659911</v>
      </c>
      <c r="G1396" s="1981">
        <f t="shared" si="230"/>
        <v>1.0144704518691834</v>
      </c>
    </row>
    <row r="1397" spans="1:7" ht="17.100000000000001" customHeight="1">
      <c r="A1397" s="548"/>
      <c r="B1397" s="746"/>
      <c r="C1397" s="2970" t="s">
        <v>472</v>
      </c>
      <c r="D1397" s="2970"/>
      <c r="E1397" s="1982">
        <f t="shared" ref="E1397:F1397" si="240">SUM(E1398:E1401)</f>
        <v>3200</v>
      </c>
      <c r="F1397" s="1982">
        <f t="shared" si="240"/>
        <v>3296</v>
      </c>
      <c r="G1397" s="1985">
        <f t="shared" si="230"/>
        <v>1.03</v>
      </c>
    </row>
    <row r="1398" spans="1:7" ht="17.100000000000001" hidden="1" customHeight="1">
      <c r="A1398" s="548"/>
      <c r="B1398" s="746"/>
      <c r="C1398" s="1959" t="s">
        <v>473</v>
      </c>
      <c r="D1398" s="1960" t="s">
        <v>474</v>
      </c>
      <c r="E1398" s="1978"/>
      <c r="F1398" s="1978">
        <v>0</v>
      </c>
      <c r="G1398" s="1981" t="e">
        <f t="shared" si="230"/>
        <v>#DIV/0!</v>
      </c>
    </row>
    <row r="1399" spans="1:7" ht="17.100000000000001" hidden="1" customHeight="1">
      <c r="A1399" s="548"/>
      <c r="B1399" s="746"/>
      <c r="C1399" s="1959" t="s">
        <v>477</v>
      </c>
      <c r="D1399" s="1960" t="s">
        <v>478</v>
      </c>
      <c r="E1399" s="1978"/>
      <c r="F1399" s="1978">
        <v>0</v>
      </c>
      <c r="G1399" s="1981" t="e">
        <f t="shared" si="230"/>
        <v>#DIV/0!</v>
      </c>
    </row>
    <row r="1400" spans="1:7" ht="17.100000000000001" hidden="1" customHeight="1">
      <c r="A1400" s="548"/>
      <c r="B1400" s="746"/>
      <c r="C1400" s="1959" t="s">
        <v>479</v>
      </c>
      <c r="D1400" s="1960" t="s">
        <v>480</v>
      </c>
      <c r="E1400" s="1978"/>
      <c r="F1400" s="1978">
        <v>0</v>
      </c>
      <c r="G1400" s="1981" t="e">
        <f t="shared" si="230"/>
        <v>#DIV/0!</v>
      </c>
    </row>
    <row r="1401" spans="1:7" ht="17.100000000000001" customHeight="1">
      <c r="A1401" s="548"/>
      <c r="B1401" s="746"/>
      <c r="C1401" s="1959" t="s">
        <v>481</v>
      </c>
      <c r="D1401" s="1960" t="s">
        <v>482</v>
      </c>
      <c r="E1401" s="1978">
        <v>3200</v>
      </c>
      <c r="F1401" s="1978">
        <v>3296</v>
      </c>
      <c r="G1401" s="1981">
        <f t="shared" si="230"/>
        <v>1.03</v>
      </c>
    </row>
    <row r="1402" spans="1:7" ht="17.100000000000001" customHeight="1">
      <c r="A1402" s="548"/>
      <c r="B1402" s="746"/>
      <c r="C1402" s="553"/>
      <c r="D1402" s="553"/>
      <c r="E1402" s="550"/>
      <c r="F1402" s="550"/>
      <c r="G1402" s="1433"/>
    </row>
    <row r="1403" spans="1:7" ht="17.100000000000001" customHeight="1">
      <c r="A1403" s="548"/>
      <c r="B1403" s="746"/>
      <c r="C1403" s="2971" t="s">
        <v>483</v>
      </c>
      <c r="D1403" s="2971"/>
      <c r="E1403" s="1982">
        <f t="shared" ref="E1403:F1403" si="241">SUM(E1404:E1406)</f>
        <v>647298</v>
      </c>
      <c r="F1403" s="1982">
        <f t="shared" si="241"/>
        <v>656615</v>
      </c>
      <c r="G1403" s="1985">
        <f t="shared" si="230"/>
        <v>1.0143936795726234</v>
      </c>
    </row>
    <row r="1404" spans="1:7" ht="17.100000000000001" customHeight="1">
      <c r="A1404" s="548"/>
      <c r="B1404" s="746"/>
      <c r="C1404" s="1959" t="s">
        <v>486</v>
      </c>
      <c r="D1404" s="1960" t="s">
        <v>487</v>
      </c>
      <c r="E1404" s="1978">
        <v>3000</v>
      </c>
      <c r="F1404" s="1978">
        <v>2000</v>
      </c>
      <c r="G1404" s="1981">
        <f t="shared" si="230"/>
        <v>0.66666666666666663</v>
      </c>
    </row>
    <row r="1405" spans="1:7" ht="17.100000000000001" customHeight="1">
      <c r="A1405" s="548"/>
      <c r="B1405" s="746"/>
      <c r="C1405" s="1959" t="s">
        <v>496</v>
      </c>
      <c r="D1405" s="1960" t="s">
        <v>497</v>
      </c>
      <c r="E1405" s="1978">
        <v>27150</v>
      </c>
      <c r="F1405" s="1978">
        <v>26000</v>
      </c>
      <c r="G1405" s="1981">
        <f t="shared" si="230"/>
        <v>0.9576427255985267</v>
      </c>
    </row>
    <row r="1406" spans="1:7" ht="17.100000000000001" customHeight="1">
      <c r="A1406" s="548"/>
      <c r="B1406" s="746"/>
      <c r="C1406" s="1959" t="s">
        <v>508</v>
      </c>
      <c r="D1406" s="1960" t="s">
        <v>509</v>
      </c>
      <c r="E1406" s="1978">
        <v>617148</v>
      </c>
      <c r="F1406" s="1978">
        <v>628615</v>
      </c>
      <c r="G1406" s="1981">
        <f t="shared" si="230"/>
        <v>1.0185806321984354</v>
      </c>
    </row>
    <row r="1407" spans="1:7" ht="17.100000000000001" customHeight="1">
      <c r="A1407" s="548"/>
      <c r="B1407" s="746"/>
      <c r="C1407" s="553"/>
      <c r="D1407" s="553"/>
      <c r="E1407" s="550"/>
      <c r="F1407" s="550"/>
      <c r="G1407" s="1433"/>
    </row>
    <row r="1408" spans="1:7" ht="17.100000000000001" customHeight="1">
      <c r="A1408" s="548"/>
      <c r="B1408" s="746"/>
      <c r="C1408" s="2972" t="s">
        <v>567</v>
      </c>
      <c r="D1408" s="2972"/>
      <c r="E1408" s="1978">
        <f>SUM(E1409:E1413)</f>
        <v>8849239</v>
      </c>
      <c r="F1408" s="1978">
        <f>SUM(F1409:F1413)</f>
        <v>4540880</v>
      </c>
      <c r="G1408" s="1981">
        <f t="shared" si="230"/>
        <v>0.51313790937277204</v>
      </c>
    </row>
    <row r="1409" spans="1:7" ht="51.75" customHeight="1">
      <c r="A1409" s="548"/>
      <c r="B1409" s="746"/>
      <c r="C1409" s="1989" t="s">
        <v>420</v>
      </c>
      <c r="D1409" s="1990" t="s">
        <v>592</v>
      </c>
      <c r="E1409" s="1957">
        <v>3748647</v>
      </c>
      <c r="F1409" s="1957">
        <v>3014218</v>
      </c>
      <c r="G1409" s="1958">
        <f t="shared" si="230"/>
        <v>0.8040815793004783</v>
      </c>
    </row>
    <row r="1410" spans="1:7" ht="51">
      <c r="A1410" s="548"/>
      <c r="B1410" s="746"/>
      <c r="C1410" s="1983" t="s">
        <v>303</v>
      </c>
      <c r="D1410" s="1991" t="s">
        <v>539</v>
      </c>
      <c r="E1410" s="1957">
        <v>4177383</v>
      </c>
      <c r="F1410" s="1957">
        <v>1526662</v>
      </c>
      <c r="G1410" s="1981">
        <f t="shared" si="230"/>
        <v>0.36545894882034996</v>
      </c>
    </row>
    <row r="1411" spans="1:7" ht="43.5" hidden="1" customHeight="1">
      <c r="A1411" s="548"/>
      <c r="B1411" s="746"/>
      <c r="C1411" s="1983" t="s">
        <v>582</v>
      </c>
      <c r="D1411" s="1992" t="s">
        <v>583</v>
      </c>
      <c r="E1411" s="1957">
        <v>26000</v>
      </c>
      <c r="F1411" s="1957">
        <v>0</v>
      </c>
      <c r="G1411" s="1981">
        <f t="shared" si="230"/>
        <v>0</v>
      </c>
    </row>
    <row r="1412" spans="1:7" ht="43.5" hidden="1" customHeight="1">
      <c r="A1412" s="548"/>
      <c r="B1412" s="746"/>
      <c r="C1412" s="1983" t="s">
        <v>391</v>
      </c>
      <c r="D1412" s="1993" t="s">
        <v>593</v>
      </c>
      <c r="E1412" s="1957">
        <v>3724</v>
      </c>
      <c r="F1412" s="1957">
        <v>0</v>
      </c>
      <c r="G1412" s="1981">
        <f t="shared" si="230"/>
        <v>0</v>
      </c>
    </row>
    <row r="1413" spans="1:7" ht="18.75" hidden="1" customHeight="1">
      <c r="A1413" s="548"/>
      <c r="B1413" s="746"/>
      <c r="C1413" s="626" t="s">
        <v>392</v>
      </c>
      <c r="D1413" s="1994" t="s">
        <v>594</v>
      </c>
      <c r="E1413" s="1957">
        <v>893485</v>
      </c>
      <c r="F1413" s="1957">
        <v>0</v>
      </c>
      <c r="G1413" s="1497">
        <f t="shared" si="230"/>
        <v>0</v>
      </c>
    </row>
    <row r="1414" spans="1:7" ht="17.100000000000001" customHeight="1">
      <c r="A1414" s="548"/>
      <c r="B1414" s="746"/>
      <c r="C1414" s="1995"/>
      <c r="D1414" s="1996"/>
      <c r="E1414" s="1997"/>
      <c r="F1414" s="1997"/>
      <c r="G1414" s="1998"/>
    </row>
    <row r="1415" spans="1:7" ht="17.100000000000001" customHeight="1">
      <c r="A1415" s="548"/>
      <c r="B1415" s="746"/>
      <c r="C1415" s="2852" t="s">
        <v>711</v>
      </c>
      <c r="D1415" s="2852"/>
      <c r="E1415" s="564">
        <f t="shared" ref="E1415:F1415" si="242">SUM(E1416:E1418)</f>
        <v>475030</v>
      </c>
      <c r="F1415" s="564">
        <f t="shared" si="242"/>
        <v>526380</v>
      </c>
      <c r="G1415" s="1497">
        <f t="shared" si="230"/>
        <v>1.1080984358882597</v>
      </c>
    </row>
    <row r="1416" spans="1:7" ht="17.100000000000001" customHeight="1">
      <c r="A1416" s="548"/>
      <c r="B1416" s="746"/>
      <c r="C1416" s="1959" t="s">
        <v>521</v>
      </c>
      <c r="D1416" s="1960" t="s">
        <v>522</v>
      </c>
      <c r="E1416" s="1978">
        <v>45030</v>
      </c>
      <c r="F1416" s="1978">
        <v>46380</v>
      </c>
      <c r="G1416" s="1981">
        <f t="shared" si="230"/>
        <v>1.0299800133244503</v>
      </c>
    </row>
    <row r="1417" spans="1:7" ht="17.100000000000001" customHeight="1">
      <c r="A1417" s="548"/>
      <c r="B1417" s="746"/>
      <c r="C1417" s="1959" t="s">
        <v>796</v>
      </c>
      <c r="D1417" s="1960" t="s">
        <v>797</v>
      </c>
      <c r="E1417" s="1978">
        <v>100000</v>
      </c>
      <c r="F1417" s="1978">
        <f>100000+50000</f>
        <v>150000</v>
      </c>
      <c r="G1417" s="1981">
        <f t="shared" si="230"/>
        <v>1.5</v>
      </c>
    </row>
    <row r="1418" spans="1:7" ht="17.100000000000001" customHeight="1">
      <c r="A1418" s="548"/>
      <c r="B1418" s="746"/>
      <c r="C1418" s="1959" t="s">
        <v>776</v>
      </c>
      <c r="D1418" s="1960" t="s">
        <v>777</v>
      </c>
      <c r="E1418" s="1978">
        <v>330000</v>
      </c>
      <c r="F1418" s="1978">
        <v>330000</v>
      </c>
      <c r="G1418" s="1981">
        <f t="shared" si="230"/>
        <v>1</v>
      </c>
    </row>
    <row r="1419" spans="1:7" ht="17.100000000000001" customHeight="1">
      <c r="A1419" s="548"/>
      <c r="B1419" s="746"/>
      <c r="C1419" s="748"/>
      <c r="D1419" s="745"/>
      <c r="E1419" s="551"/>
      <c r="F1419" s="551"/>
      <c r="G1419" s="1438"/>
    </row>
    <row r="1420" spans="1:7" ht="17.100000000000001" hidden="1" customHeight="1">
      <c r="A1420" s="548"/>
      <c r="B1420" s="746"/>
      <c r="C1420" s="2978" t="s">
        <v>536</v>
      </c>
      <c r="D1420" s="2979"/>
      <c r="E1420" s="1978">
        <f>E1421+E1422</f>
        <v>61004</v>
      </c>
      <c r="F1420" s="1978">
        <f>F1421+F1422</f>
        <v>0</v>
      </c>
      <c r="G1420" s="1981">
        <f t="shared" si="230"/>
        <v>0</v>
      </c>
    </row>
    <row r="1421" spans="1:7" ht="54" hidden="1" customHeight="1">
      <c r="A1421" s="548"/>
      <c r="B1421" s="746"/>
      <c r="C1421" s="1983" t="s">
        <v>389</v>
      </c>
      <c r="D1421" s="1999" t="s">
        <v>592</v>
      </c>
      <c r="E1421" s="1978"/>
      <c r="F1421" s="1978">
        <v>0</v>
      </c>
      <c r="G1421" s="1981" t="e">
        <f t="shared" si="230"/>
        <v>#DIV/0!</v>
      </c>
    </row>
    <row r="1422" spans="1:7" ht="15" hidden="1" customHeight="1">
      <c r="A1422" s="548"/>
      <c r="B1422" s="746"/>
      <c r="C1422" s="1983" t="s">
        <v>798</v>
      </c>
      <c r="D1422" s="1999" t="s">
        <v>705</v>
      </c>
      <c r="E1422" s="1978">
        <v>61004</v>
      </c>
      <c r="F1422" s="1978">
        <v>0</v>
      </c>
      <c r="G1422" s="1981">
        <f t="shared" si="230"/>
        <v>0</v>
      </c>
    </row>
    <row r="1423" spans="1:7" ht="17.100000000000001" hidden="1" customHeight="1">
      <c r="A1423" s="548"/>
      <c r="B1423" s="746"/>
      <c r="C1423" s="553"/>
      <c r="D1423" s="553"/>
      <c r="E1423" s="550"/>
      <c r="F1423" s="550"/>
      <c r="G1423" s="1433"/>
    </row>
    <row r="1424" spans="1:7" ht="17.100000000000001" customHeight="1">
      <c r="A1424" s="548"/>
      <c r="B1424" s="746"/>
      <c r="C1424" s="2966" t="s">
        <v>523</v>
      </c>
      <c r="D1424" s="2966"/>
      <c r="E1424" s="2000">
        <f>E1425</f>
        <v>210939</v>
      </c>
      <c r="F1424" s="2000">
        <f t="shared" ref="F1424" si="243">F1425</f>
        <v>236148</v>
      </c>
      <c r="G1424" s="2001">
        <f t="shared" ref="G1424:G1496" si="244">F1424/E1424</f>
        <v>1.1195084834952285</v>
      </c>
    </row>
    <row r="1425" spans="1:7">
      <c r="A1425" s="548"/>
      <c r="B1425" s="746"/>
      <c r="C1425" s="2980" t="s">
        <v>524</v>
      </c>
      <c r="D1425" s="2980"/>
      <c r="E1425" s="1978">
        <f>SUM(E1426:E1428)</f>
        <v>210939</v>
      </c>
      <c r="F1425" s="1978">
        <f t="shared" ref="F1425" si="245">SUM(F1426:F1428)</f>
        <v>236148</v>
      </c>
      <c r="G1425" s="1981">
        <f t="shared" si="244"/>
        <v>1.1195084834952285</v>
      </c>
    </row>
    <row r="1426" spans="1:7" ht="42" customHeight="1">
      <c r="A1426" s="548"/>
      <c r="B1426" s="746"/>
      <c r="C1426" s="1965" t="s">
        <v>607</v>
      </c>
      <c r="D1426" s="745" t="s">
        <v>611</v>
      </c>
      <c r="E1426" s="1957">
        <v>93133</v>
      </c>
      <c r="F1426" s="1957">
        <v>126348</v>
      </c>
      <c r="G1426" s="1958">
        <f t="shared" si="244"/>
        <v>1.3566405033661537</v>
      </c>
    </row>
    <row r="1427" spans="1:7" ht="51.75" thickBot="1">
      <c r="A1427" s="548"/>
      <c r="B1427" s="746"/>
      <c r="C1427" s="1959" t="s">
        <v>608</v>
      </c>
      <c r="D1427" s="2002" t="s">
        <v>609</v>
      </c>
      <c r="E1427" s="2003">
        <v>67085</v>
      </c>
      <c r="F1427" s="2003">
        <v>109800</v>
      </c>
      <c r="G1427" s="2004">
        <f t="shared" si="244"/>
        <v>1.6367295222478944</v>
      </c>
    </row>
    <row r="1428" spans="1:7" ht="28.5" hidden="1" customHeight="1" thickBot="1">
      <c r="A1428" s="548"/>
      <c r="B1428" s="746"/>
      <c r="C1428" s="555" t="s">
        <v>393</v>
      </c>
      <c r="D1428" s="585" t="s">
        <v>706</v>
      </c>
      <c r="E1428" s="551">
        <v>50721</v>
      </c>
      <c r="F1428" s="551">
        <v>0</v>
      </c>
      <c r="G1428" s="1438">
        <f t="shared" si="244"/>
        <v>0</v>
      </c>
    </row>
    <row r="1429" spans="1:7" ht="17.100000000000001" hidden="1" customHeight="1" thickBot="1">
      <c r="A1429" s="545" t="s">
        <v>799</v>
      </c>
      <c r="B1429" s="565"/>
      <c r="C1429" s="566"/>
      <c r="D1429" s="567" t="s">
        <v>800</v>
      </c>
      <c r="E1429" s="568">
        <f>SUM(E1430,E1442)</f>
        <v>0</v>
      </c>
      <c r="F1429" s="568">
        <f t="shared" ref="F1429" si="246">SUM(F1430,F1442)</f>
        <v>0</v>
      </c>
      <c r="G1429" s="1499" t="e">
        <f t="shared" si="244"/>
        <v>#DIV/0!</v>
      </c>
    </row>
    <row r="1430" spans="1:7" ht="17.100000000000001" hidden="1" customHeight="1" thickBot="1">
      <c r="A1430" s="548"/>
      <c r="B1430" s="559" t="s">
        <v>801</v>
      </c>
      <c r="C1430" s="560"/>
      <c r="D1430" s="561" t="s">
        <v>395</v>
      </c>
      <c r="E1430" s="562">
        <f t="shared" ref="E1430:F1430" si="247">E1431</f>
        <v>0</v>
      </c>
      <c r="F1430" s="562">
        <f t="shared" si="247"/>
        <v>0</v>
      </c>
      <c r="G1430" s="1478" t="e">
        <f t="shared" si="244"/>
        <v>#DIV/0!</v>
      </c>
    </row>
    <row r="1431" spans="1:7" ht="17.100000000000001" hidden="1" customHeight="1">
      <c r="A1431" s="548"/>
      <c r="B1431" s="2898"/>
      <c r="C1431" s="2783" t="s">
        <v>470</v>
      </c>
      <c r="D1431" s="2783"/>
      <c r="E1431" s="627">
        <f>E1432+E1437+E1440</f>
        <v>0</v>
      </c>
      <c r="F1431" s="627">
        <f t="shared" ref="F1431" si="248">F1432+F1437+F1440</f>
        <v>0</v>
      </c>
      <c r="G1431" s="1810" t="e">
        <f t="shared" si="244"/>
        <v>#DIV/0!</v>
      </c>
    </row>
    <row r="1432" spans="1:7" ht="17.100000000000001" hidden="1" customHeight="1">
      <c r="A1432" s="548"/>
      <c r="B1432" s="2771"/>
      <c r="C1432" s="2969" t="s">
        <v>471</v>
      </c>
      <c r="D1432" s="2969"/>
      <c r="E1432" s="1978">
        <f t="shared" ref="E1432:F1432" si="249">SUM(E1433)</f>
        <v>0</v>
      </c>
      <c r="F1432" s="1978">
        <f t="shared" si="249"/>
        <v>0</v>
      </c>
      <c r="G1432" s="1981" t="e">
        <f t="shared" si="244"/>
        <v>#DIV/0!</v>
      </c>
    </row>
    <row r="1433" spans="1:7" ht="17.100000000000001" hidden="1" customHeight="1">
      <c r="A1433" s="548"/>
      <c r="B1433" s="2771"/>
      <c r="C1433" s="2971" t="s">
        <v>483</v>
      </c>
      <c r="D1433" s="2971"/>
      <c r="E1433" s="1982">
        <f>SUM(E1434:E1435)</f>
        <v>0</v>
      </c>
      <c r="F1433" s="1982">
        <f t="shared" ref="F1433" si="250">SUM(F1434:F1435)</f>
        <v>0</v>
      </c>
      <c r="G1433" s="1985" t="e">
        <f t="shared" si="244"/>
        <v>#DIV/0!</v>
      </c>
    </row>
    <row r="1434" spans="1:7" ht="17.100000000000001" hidden="1" customHeight="1">
      <c r="A1434" s="548"/>
      <c r="B1434" s="2771"/>
      <c r="C1434" s="2005" t="s">
        <v>496</v>
      </c>
      <c r="D1434" s="1960" t="s">
        <v>497</v>
      </c>
      <c r="E1434" s="1978"/>
      <c r="F1434" s="1978"/>
      <c r="G1434" s="1981" t="e">
        <f t="shared" si="244"/>
        <v>#DIV/0!</v>
      </c>
    </row>
    <row r="1435" spans="1:7" ht="17.100000000000001" hidden="1" customHeight="1">
      <c r="A1435" s="548"/>
      <c r="B1435" s="2771"/>
      <c r="C1435" s="2005" t="s">
        <v>580</v>
      </c>
      <c r="D1435" s="1960" t="s">
        <v>581</v>
      </c>
      <c r="E1435" s="1978"/>
      <c r="F1435" s="1978"/>
      <c r="G1435" s="1981" t="e">
        <f t="shared" si="244"/>
        <v>#DIV/0!</v>
      </c>
    </row>
    <row r="1436" spans="1:7" ht="17.100000000000001" hidden="1" customHeight="1">
      <c r="A1436" s="548"/>
      <c r="B1436" s="2771"/>
      <c r="C1436" s="2005"/>
      <c r="D1436" s="2006"/>
      <c r="E1436" s="1978"/>
      <c r="F1436" s="1978"/>
      <c r="G1436" s="1981"/>
    </row>
    <row r="1437" spans="1:7" ht="17.100000000000001" hidden="1" customHeight="1">
      <c r="A1437" s="548"/>
      <c r="B1437" s="2771"/>
      <c r="C1437" s="2965" t="s">
        <v>536</v>
      </c>
      <c r="D1437" s="2965"/>
      <c r="E1437" s="1978">
        <f>E1438</f>
        <v>0</v>
      </c>
      <c r="F1437" s="1978">
        <f t="shared" ref="F1437" si="251">F1438</f>
        <v>0</v>
      </c>
      <c r="G1437" s="1981" t="e">
        <f t="shared" si="244"/>
        <v>#DIV/0!</v>
      </c>
    </row>
    <row r="1438" spans="1:7" ht="17.100000000000001" hidden="1" customHeight="1">
      <c r="A1438" s="548"/>
      <c r="B1438" s="2771"/>
      <c r="C1438" s="1959" t="s">
        <v>802</v>
      </c>
      <c r="D1438" s="1960" t="s">
        <v>803</v>
      </c>
      <c r="E1438" s="1978"/>
      <c r="F1438" s="1978">
        <v>0</v>
      </c>
      <c r="G1438" s="1981" t="e">
        <f t="shared" si="244"/>
        <v>#DIV/0!</v>
      </c>
    </row>
    <row r="1439" spans="1:7" ht="17.100000000000001" hidden="1" customHeight="1">
      <c r="A1439" s="548"/>
      <c r="B1439" s="2771"/>
      <c r="C1439" s="2005"/>
      <c r="D1439" s="2006"/>
      <c r="E1439" s="1978"/>
      <c r="F1439" s="1978"/>
      <c r="G1439" s="1981"/>
    </row>
    <row r="1440" spans="1:7" ht="17.100000000000001" hidden="1" customHeight="1">
      <c r="A1440" s="548"/>
      <c r="B1440" s="2771"/>
      <c r="C1440" s="2980" t="s">
        <v>711</v>
      </c>
      <c r="D1440" s="2980"/>
      <c r="E1440" s="1978">
        <f t="shared" ref="E1440:F1440" si="252">E1441</f>
        <v>0</v>
      </c>
      <c r="F1440" s="1978">
        <f t="shared" si="252"/>
        <v>0</v>
      </c>
      <c r="G1440" s="1981" t="e">
        <f t="shared" si="244"/>
        <v>#DIV/0!</v>
      </c>
    </row>
    <row r="1441" spans="1:7" ht="17.100000000000001" hidden="1" customHeight="1" thickBot="1">
      <c r="A1441" s="548"/>
      <c r="B1441" s="2951"/>
      <c r="C1441" s="2007" t="s">
        <v>804</v>
      </c>
      <c r="D1441" s="2008" t="s">
        <v>805</v>
      </c>
      <c r="E1441" s="552"/>
      <c r="F1441" s="552"/>
      <c r="G1441" s="1445" t="e">
        <f t="shared" si="244"/>
        <v>#DIV/0!</v>
      </c>
    </row>
    <row r="1442" spans="1:7" ht="17.100000000000001" hidden="1" customHeight="1" thickBot="1">
      <c r="A1442" s="548"/>
      <c r="B1442" s="559" t="s">
        <v>806</v>
      </c>
      <c r="C1442" s="560"/>
      <c r="D1442" s="561" t="s">
        <v>239</v>
      </c>
      <c r="E1442" s="562">
        <f>E1443+E1452</f>
        <v>0</v>
      </c>
      <c r="F1442" s="562">
        <f>F1443+F1452</f>
        <v>0</v>
      </c>
      <c r="G1442" s="1478" t="e">
        <f t="shared" si="244"/>
        <v>#DIV/0!</v>
      </c>
    </row>
    <row r="1443" spans="1:7" ht="17.100000000000001" hidden="1" customHeight="1">
      <c r="A1443" s="548"/>
      <c r="B1443" s="2771"/>
      <c r="C1443" s="2853" t="s">
        <v>470</v>
      </c>
      <c r="D1443" s="2853"/>
      <c r="E1443" s="549">
        <f>E1444+E1448</f>
        <v>0</v>
      </c>
      <c r="F1443" s="549">
        <f t="shared" ref="F1443" si="253">F1444+F1448</f>
        <v>0</v>
      </c>
      <c r="G1443" s="1424" t="e">
        <f t="shared" si="244"/>
        <v>#DIV/0!</v>
      </c>
    </row>
    <row r="1444" spans="1:7" ht="17.100000000000001" hidden="1" customHeight="1">
      <c r="A1444" s="548"/>
      <c r="B1444" s="2771"/>
      <c r="C1444" s="2974" t="s">
        <v>471</v>
      </c>
      <c r="D1444" s="2974"/>
      <c r="E1444" s="2009">
        <f t="shared" ref="E1444:F1445" si="254">E1445</f>
        <v>0</v>
      </c>
      <c r="F1444" s="2009">
        <f t="shared" si="254"/>
        <v>0</v>
      </c>
      <c r="G1444" s="2010"/>
    </row>
    <row r="1445" spans="1:7" ht="17.100000000000001" hidden="1" customHeight="1">
      <c r="A1445" s="548"/>
      <c r="B1445" s="2771"/>
      <c r="C1445" s="2975" t="s">
        <v>483</v>
      </c>
      <c r="D1445" s="2975"/>
      <c r="E1445" s="2011">
        <f t="shared" si="254"/>
        <v>0</v>
      </c>
      <c r="F1445" s="2011">
        <f t="shared" si="254"/>
        <v>0</v>
      </c>
      <c r="G1445" s="2012"/>
    </row>
    <row r="1446" spans="1:7" ht="17.100000000000001" hidden="1" customHeight="1">
      <c r="A1446" s="548"/>
      <c r="B1446" s="2771"/>
      <c r="C1446" s="2013" t="s">
        <v>496</v>
      </c>
      <c r="D1446" s="2014" t="s">
        <v>497</v>
      </c>
      <c r="E1446" s="2015">
        <v>0</v>
      </c>
      <c r="F1446" s="2015">
        <v>0</v>
      </c>
      <c r="G1446" s="2016"/>
    </row>
    <row r="1447" spans="1:7" ht="17.100000000000001" hidden="1" customHeight="1">
      <c r="A1447" s="548"/>
      <c r="B1447" s="741"/>
      <c r="C1447" s="2976"/>
      <c r="D1447" s="2977"/>
      <c r="E1447" s="1957"/>
      <c r="F1447" s="1957"/>
      <c r="G1447" s="1958"/>
    </row>
    <row r="1448" spans="1:7" ht="17.100000000000001" hidden="1" customHeight="1">
      <c r="A1448" s="548"/>
      <c r="B1448" s="741"/>
      <c r="C1448" s="2965" t="s">
        <v>14</v>
      </c>
      <c r="D1448" s="2969"/>
      <c r="E1448" s="2017">
        <f>E1449+E1450</f>
        <v>0</v>
      </c>
      <c r="F1448" s="2017">
        <f t="shared" ref="F1448" si="255">F1449+F1450</f>
        <v>0</v>
      </c>
      <c r="G1448" s="2018" t="e">
        <f t="shared" si="244"/>
        <v>#DIV/0!</v>
      </c>
    </row>
    <row r="1449" spans="1:7" ht="39" hidden="1" customHeight="1">
      <c r="A1449" s="548"/>
      <c r="B1449" s="741"/>
      <c r="C1449" s="2019" t="s">
        <v>807</v>
      </c>
      <c r="D1449" s="2020" t="s">
        <v>808</v>
      </c>
      <c r="E1449" s="1957">
        <v>0</v>
      </c>
      <c r="F1449" s="1957">
        <v>0</v>
      </c>
      <c r="G1449" s="1958" t="e">
        <f t="shared" si="244"/>
        <v>#DIV/0!</v>
      </c>
    </row>
    <row r="1450" spans="1:7" ht="39" hidden="1" customHeight="1">
      <c r="A1450" s="548"/>
      <c r="B1450" s="741"/>
      <c r="C1450" s="2019" t="s">
        <v>809</v>
      </c>
      <c r="D1450" s="2020" t="s">
        <v>810</v>
      </c>
      <c r="E1450" s="1957">
        <v>0</v>
      </c>
      <c r="F1450" s="1957">
        <v>0</v>
      </c>
      <c r="G1450" s="1958" t="e">
        <f t="shared" si="244"/>
        <v>#DIV/0!</v>
      </c>
    </row>
    <row r="1451" spans="1:7" ht="14.25" hidden="1" customHeight="1">
      <c r="A1451" s="548"/>
      <c r="B1451" s="741"/>
      <c r="C1451" s="628"/>
      <c r="D1451" s="2020"/>
      <c r="E1451" s="1978"/>
      <c r="F1451" s="1978"/>
      <c r="G1451" s="1958"/>
    </row>
    <row r="1452" spans="1:7" ht="17.25" hidden="1" customHeight="1">
      <c r="A1452" s="548"/>
      <c r="B1452" s="741"/>
      <c r="C1452" s="2966" t="s">
        <v>523</v>
      </c>
      <c r="D1452" s="2990"/>
      <c r="E1452" s="2021">
        <f>E1453</f>
        <v>0</v>
      </c>
      <c r="F1452" s="2021">
        <f>F1453</f>
        <v>0</v>
      </c>
      <c r="G1452" s="1958" t="e">
        <f t="shared" si="244"/>
        <v>#DIV/0!</v>
      </c>
    </row>
    <row r="1453" spans="1:7" ht="17.25" hidden="1" customHeight="1">
      <c r="A1453" s="548"/>
      <c r="B1453" s="741"/>
      <c r="C1453" s="2980" t="s">
        <v>524</v>
      </c>
      <c r="D1453" s="2991"/>
      <c r="E1453" s="1978">
        <f>E1454+E1455</f>
        <v>0</v>
      </c>
      <c r="F1453" s="1978">
        <f>F1454+F1455</f>
        <v>0</v>
      </c>
      <c r="G1453" s="1958" t="e">
        <f t="shared" si="244"/>
        <v>#DIV/0!</v>
      </c>
    </row>
    <row r="1454" spans="1:7" ht="39" hidden="1" customHeight="1">
      <c r="A1454" s="548"/>
      <c r="B1454" s="741"/>
      <c r="C1454" s="2005" t="s">
        <v>811</v>
      </c>
      <c r="D1454" s="2022" t="s">
        <v>812</v>
      </c>
      <c r="E1454" s="1978"/>
      <c r="F1454" s="1978">
        <v>0</v>
      </c>
      <c r="G1454" s="1958" t="e">
        <f t="shared" si="244"/>
        <v>#DIV/0!</v>
      </c>
    </row>
    <row r="1455" spans="1:7" ht="42" hidden="1" customHeight="1" thickBot="1">
      <c r="A1455" s="548"/>
      <c r="B1455" s="741"/>
      <c r="C1455" s="2023" t="s">
        <v>720</v>
      </c>
      <c r="D1455" s="747" t="s">
        <v>721</v>
      </c>
      <c r="E1455" s="552"/>
      <c r="F1455" s="552">
        <v>0</v>
      </c>
      <c r="G1455" s="1958" t="e">
        <f t="shared" si="244"/>
        <v>#DIV/0!</v>
      </c>
    </row>
    <row r="1456" spans="1:7" ht="17.100000000000001" customHeight="1" thickBot="1">
      <c r="A1456" s="545" t="s">
        <v>120</v>
      </c>
      <c r="B1456" s="546"/>
      <c r="C1456" s="1416"/>
      <c r="D1456" s="1417" t="s">
        <v>813</v>
      </c>
      <c r="E1456" s="547">
        <f>E1457+E1472+E1476+E1484+E1488+E1496+E1508+E1512+E1522+E1527</f>
        <v>77273696</v>
      </c>
      <c r="F1456" s="547">
        <f>F1457+F1472+F1476+F1484+F1488+F1496+F1508+F1512+F1522+F1527</f>
        <v>51821916</v>
      </c>
      <c r="G1456" s="1418">
        <f t="shared" si="244"/>
        <v>0.67062815268988818</v>
      </c>
    </row>
    <row r="1457" spans="1:7" ht="17.100000000000001" customHeight="1" thickBot="1">
      <c r="A1457" s="548"/>
      <c r="B1457" s="559" t="s">
        <v>814</v>
      </c>
      <c r="C1457" s="560"/>
      <c r="D1457" s="561" t="s">
        <v>399</v>
      </c>
      <c r="E1457" s="562">
        <f>E1458+E1467</f>
        <v>55024055</v>
      </c>
      <c r="F1457" s="562">
        <f>F1458+F1467</f>
        <v>35677171</v>
      </c>
      <c r="G1457" s="1478">
        <f t="shared" si="244"/>
        <v>0.64839225316999993</v>
      </c>
    </row>
    <row r="1458" spans="1:7" ht="17.100000000000001" customHeight="1">
      <c r="A1458" s="548"/>
      <c r="B1458" s="2992"/>
      <c r="C1458" s="2993" t="s">
        <v>470</v>
      </c>
      <c r="D1458" s="2994"/>
      <c r="E1458" s="627">
        <f>E1459+E1463</f>
        <v>7486982</v>
      </c>
      <c r="F1458" s="627">
        <f>F1459+F1463</f>
        <v>256000</v>
      </c>
      <c r="G1458" s="1810">
        <f t="shared" si="244"/>
        <v>3.4192682712473464E-2</v>
      </c>
    </row>
    <row r="1459" spans="1:7" ht="17.100000000000001" hidden="1" customHeight="1">
      <c r="A1459" s="548"/>
      <c r="B1459" s="2992"/>
      <c r="C1459" s="2969" t="s">
        <v>471</v>
      </c>
      <c r="D1459" s="2969"/>
      <c r="E1459" s="551">
        <f>E1460</f>
        <v>6590934</v>
      </c>
      <c r="F1459" s="551">
        <f>F1460</f>
        <v>0</v>
      </c>
      <c r="G1459" s="1497">
        <f t="shared" si="244"/>
        <v>0</v>
      </c>
    </row>
    <row r="1460" spans="1:7" ht="17.100000000000001" hidden="1" customHeight="1">
      <c r="A1460" s="548"/>
      <c r="B1460" s="2992"/>
      <c r="C1460" s="2971" t="s">
        <v>483</v>
      </c>
      <c r="D1460" s="2971"/>
      <c r="E1460" s="2017">
        <f>E1461</f>
        <v>6590934</v>
      </c>
      <c r="F1460" s="2017">
        <f>F1461</f>
        <v>0</v>
      </c>
      <c r="G1460" s="1497">
        <f t="shared" si="244"/>
        <v>0</v>
      </c>
    </row>
    <row r="1461" spans="1:7" ht="27" hidden="1" customHeight="1">
      <c r="A1461" s="548"/>
      <c r="B1461" s="2992"/>
      <c r="C1461" s="1975" t="s">
        <v>815</v>
      </c>
      <c r="D1461" s="2024" t="s">
        <v>816</v>
      </c>
      <c r="E1461" s="564">
        <v>6590934</v>
      </c>
      <c r="F1461" s="564">
        <v>0</v>
      </c>
      <c r="G1461" s="1497">
        <f t="shared" si="244"/>
        <v>0</v>
      </c>
    </row>
    <row r="1462" spans="1:7" ht="15.75" hidden="1" customHeight="1">
      <c r="A1462" s="548"/>
      <c r="B1462" s="2992"/>
      <c r="C1462" s="548"/>
      <c r="D1462" s="745"/>
      <c r="E1462" s="551"/>
      <c r="F1462" s="551"/>
      <c r="G1462" s="1438"/>
    </row>
    <row r="1463" spans="1:7" ht="17.100000000000001" customHeight="1">
      <c r="A1463" s="548"/>
      <c r="B1463" s="2992"/>
      <c r="C1463" s="2995" t="s">
        <v>14</v>
      </c>
      <c r="D1463" s="2996"/>
      <c r="E1463" s="2017">
        <f>E1464+E1465</f>
        <v>896048</v>
      </c>
      <c r="F1463" s="2017">
        <f t="shared" ref="F1463" si="256">F1464+F1465</f>
        <v>256000</v>
      </c>
      <c r="G1463" s="2018">
        <f t="shared" si="244"/>
        <v>0.28569898041176367</v>
      </c>
    </row>
    <row r="1464" spans="1:7" ht="50.25" hidden="1" customHeight="1">
      <c r="A1464" s="548"/>
      <c r="B1464" s="2992"/>
      <c r="C1464" s="2025" t="s">
        <v>420</v>
      </c>
      <c r="D1464" s="2026" t="s">
        <v>538</v>
      </c>
      <c r="E1464" s="2017"/>
      <c r="F1464" s="2017"/>
      <c r="G1464" s="2018" t="e">
        <f t="shared" si="244"/>
        <v>#DIV/0!</v>
      </c>
    </row>
    <row r="1465" spans="1:7" ht="29.25" customHeight="1">
      <c r="A1465" s="548"/>
      <c r="B1465" s="2992"/>
      <c r="C1465" s="2019" t="s">
        <v>817</v>
      </c>
      <c r="D1465" s="2020" t="s">
        <v>818</v>
      </c>
      <c r="E1465" s="2017">
        <v>896048</v>
      </c>
      <c r="F1465" s="2017">
        <v>256000</v>
      </c>
      <c r="G1465" s="2018">
        <f t="shared" si="244"/>
        <v>0.28569898041176367</v>
      </c>
    </row>
    <row r="1466" spans="1:7" ht="17.100000000000001" customHeight="1">
      <c r="A1466" s="548"/>
      <c r="B1466" s="2992"/>
      <c r="C1466" s="2027"/>
      <c r="D1466" s="2028"/>
      <c r="E1466" s="2029"/>
      <c r="F1466" s="2029"/>
      <c r="G1466" s="2030"/>
    </row>
    <row r="1467" spans="1:7" ht="17.100000000000001" customHeight="1">
      <c r="A1467" s="548"/>
      <c r="B1467" s="2992"/>
      <c r="C1467" s="2997" t="s">
        <v>523</v>
      </c>
      <c r="D1467" s="2997"/>
      <c r="E1467" s="2031">
        <f>E1468</f>
        <v>47537073</v>
      </c>
      <c r="F1467" s="2031">
        <f t="shared" ref="F1467" si="257">F1468</f>
        <v>35421171</v>
      </c>
      <c r="G1467" s="2032">
        <f t="shared" si="244"/>
        <v>0.745127303063022</v>
      </c>
    </row>
    <row r="1468" spans="1:7" ht="17.100000000000001" customHeight="1">
      <c r="A1468" s="548"/>
      <c r="B1468" s="2992"/>
      <c r="C1468" s="2980" t="s">
        <v>524</v>
      </c>
      <c r="D1468" s="2980"/>
      <c r="E1468" s="2017">
        <f>SUM(E1469:E1471)</f>
        <v>47537073</v>
      </c>
      <c r="F1468" s="2017">
        <f>SUM(F1469:F1471)</f>
        <v>35421171</v>
      </c>
      <c r="G1468" s="2018">
        <f t="shared" si="244"/>
        <v>0.745127303063022</v>
      </c>
    </row>
    <row r="1469" spans="1:7" ht="42" customHeight="1">
      <c r="A1469" s="548"/>
      <c r="B1469" s="750"/>
      <c r="C1469" s="2033" t="s">
        <v>607</v>
      </c>
      <c r="D1469" s="2006" t="s">
        <v>611</v>
      </c>
      <c r="E1469" s="2017">
        <v>5633022</v>
      </c>
      <c r="F1469" s="2017">
        <v>5508079</v>
      </c>
      <c r="G1469" s="2018">
        <f t="shared" si="244"/>
        <v>0.97781954339961752</v>
      </c>
    </row>
    <row r="1470" spans="1:7" ht="41.25" customHeight="1" thickBot="1">
      <c r="A1470" s="548"/>
      <c r="B1470" s="750"/>
      <c r="C1470" s="1959" t="s">
        <v>811</v>
      </c>
      <c r="D1470" s="1960" t="s">
        <v>812</v>
      </c>
      <c r="E1470" s="2017">
        <v>41849560</v>
      </c>
      <c r="F1470" s="2017">
        <v>29913092</v>
      </c>
      <c r="G1470" s="2018">
        <f t="shared" si="244"/>
        <v>0.71477673839342637</v>
      </c>
    </row>
    <row r="1471" spans="1:7" ht="26.25" hidden="1" customHeight="1" thickBot="1">
      <c r="A1471" s="548"/>
      <c r="B1471" s="750"/>
      <c r="C1471" s="555" t="s">
        <v>393</v>
      </c>
      <c r="D1471" s="1456" t="s">
        <v>706</v>
      </c>
      <c r="E1471" s="551">
        <v>54491</v>
      </c>
      <c r="F1471" s="551">
        <v>0</v>
      </c>
      <c r="G1471" s="2018">
        <f t="shared" si="244"/>
        <v>0</v>
      </c>
    </row>
    <row r="1472" spans="1:7" ht="15" customHeight="1" thickBot="1">
      <c r="A1472" s="548"/>
      <c r="B1472" s="559" t="s">
        <v>819</v>
      </c>
      <c r="C1472" s="560"/>
      <c r="D1472" s="561" t="s">
        <v>820</v>
      </c>
      <c r="E1472" s="562">
        <f>E1473</f>
        <v>10975000</v>
      </c>
      <c r="F1472" s="562">
        <f t="shared" ref="F1472:F1474" si="258">F1473</f>
        <v>5900000</v>
      </c>
      <c r="G1472" s="1478">
        <f t="shared" si="244"/>
        <v>0.5375854214123007</v>
      </c>
    </row>
    <row r="1473" spans="1:7" ht="18.75" customHeight="1">
      <c r="A1473" s="548"/>
      <c r="B1473" s="750"/>
      <c r="C1473" s="2981" t="s">
        <v>523</v>
      </c>
      <c r="D1473" s="2982"/>
      <c r="E1473" s="2017">
        <f>E1474</f>
        <v>10975000</v>
      </c>
      <c r="F1473" s="2017">
        <f t="shared" si="258"/>
        <v>5900000</v>
      </c>
      <c r="G1473" s="2018">
        <f t="shared" si="244"/>
        <v>0.5375854214123007</v>
      </c>
    </row>
    <row r="1474" spans="1:7" ht="15.75" customHeight="1">
      <c r="A1474" s="548"/>
      <c r="B1474" s="750"/>
      <c r="C1474" s="2983" t="s">
        <v>723</v>
      </c>
      <c r="D1474" s="2984"/>
      <c r="E1474" s="2017">
        <f>E1475</f>
        <v>10975000</v>
      </c>
      <c r="F1474" s="2017">
        <f t="shared" si="258"/>
        <v>5900000</v>
      </c>
      <c r="G1474" s="2018">
        <f t="shared" si="244"/>
        <v>0.5375854214123007</v>
      </c>
    </row>
    <row r="1475" spans="1:7" ht="39.75" customHeight="1" thickBot="1">
      <c r="A1475" s="548"/>
      <c r="B1475" s="750"/>
      <c r="C1475" s="2034" t="s">
        <v>724</v>
      </c>
      <c r="D1475" s="2035" t="s">
        <v>725</v>
      </c>
      <c r="E1475" s="2017">
        <v>10975000</v>
      </c>
      <c r="F1475" s="2017">
        <v>5900000</v>
      </c>
      <c r="G1475" s="2018">
        <f t="shared" si="244"/>
        <v>0.5375854214123007</v>
      </c>
    </row>
    <row r="1476" spans="1:7" ht="15" customHeight="1" thickBot="1">
      <c r="A1476" s="548"/>
      <c r="B1476" s="629" t="s">
        <v>821</v>
      </c>
      <c r="C1476" s="630"/>
      <c r="D1476" s="631" t="s">
        <v>404</v>
      </c>
      <c r="E1476" s="632">
        <f t="shared" ref="E1476:F1476" si="259">E1481+E1477</f>
        <v>3464473</v>
      </c>
      <c r="F1476" s="632">
        <f t="shared" si="259"/>
        <v>5172046</v>
      </c>
      <c r="G1476" s="2036">
        <f t="shared" si="244"/>
        <v>1.4928810240403085</v>
      </c>
    </row>
    <row r="1477" spans="1:7" ht="15">
      <c r="A1477" s="548"/>
      <c r="B1477" s="2771"/>
      <c r="C1477" s="2985" t="s">
        <v>470</v>
      </c>
      <c r="D1477" s="2961"/>
      <c r="E1477" s="581">
        <f t="shared" ref="E1477:F1478" si="260">E1478</f>
        <v>30000</v>
      </c>
      <c r="F1477" s="581">
        <f t="shared" si="260"/>
        <v>30000</v>
      </c>
      <c r="G1477" s="1586">
        <f t="shared" si="244"/>
        <v>1</v>
      </c>
    </row>
    <row r="1478" spans="1:7" ht="15">
      <c r="A1478" s="548"/>
      <c r="B1478" s="2771"/>
      <c r="C1478" s="2986" t="s">
        <v>14</v>
      </c>
      <c r="D1478" s="2987"/>
      <c r="E1478" s="2037">
        <f t="shared" si="260"/>
        <v>30000</v>
      </c>
      <c r="F1478" s="2037">
        <f t="shared" si="260"/>
        <v>30000</v>
      </c>
      <c r="G1478" s="2038">
        <f t="shared" si="244"/>
        <v>1</v>
      </c>
    </row>
    <row r="1479" spans="1:7" ht="28.5" customHeight="1">
      <c r="A1479" s="548"/>
      <c r="B1479" s="2771"/>
      <c r="C1479" s="2039" t="s">
        <v>817</v>
      </c>
      <c r="D1479" s="2040" t="s">
        <v>818</v>
      </c>
      <c r="E1479" s="2037">
        <v>30000</v>
      </c>
      <c r="F1479" s="2037">
        <v>30000</v>
      </c>
      <c r="G1479" s="2038">
        <f t="shared" si="244"/>
        <v>1</v>
      </c>
    </row>
    <row r="1480" spans="1:7" ht="15">
      <c r="A1480" s="548"/>
      <c r="B1480" s="2771"/>
      <c r="C1480" s="633"/>
      <c r="D1480" s="749"/>
      <c r="E1480" s="557"/>
      <c r="F1480" s="557"/>
      <c r="G1480" s="1460"/>
    </row>
    <row r="1481" spans="1:7" ht="12.75" customHeight="1">
      <c r="A1481" s="548"/>
      <c r="B1481" s="2771"/>
      <c r="C1481" s="2988" t="s">
        <v>523</v>
      </c>
      <c r="D1481" s="2988"/>
      <c r="E1481" s="2031">
        <f t="shared" ref="E1481:F1482" si="261">E1482</f>
        <v>3434473</v>
      </c>
      <c r="F1481" s="2031">
        <f t="shared" si="261"/>
        <v>5142046</v>
      </c>
      <c r="G1481" s="2032">
        <f t="shared" si="244"/>
        <v>1.4971863223265987</v>
      </c>
    </row>
    <row r="1482" spans="1:7" ht="12.75" customHeight="1">
      <c r="A1482" s="548"/>
      <c r="B1482" s="2771"/>
      <c r="C1482" s="2989" t="s">
        <v>524</v>
      </c>
      <c r="D1482" s="2989"/>
      <c r="E1482" s="2041">
        <f t="shared" si="261"/>
        <v>3434473</v>
      </c>
      <c r="F1482" s="2041">
        <f t="shared" si="261"/>
        <v>5142046</v>
      </c>
      <c r="G1482" s="2042">
        <f t="shared" si="244"/>
        <v>1.4971863223265987</v>
      </c>
    </row>
    <row r="1483" spans="1:7" ht="39" thickBot="1">
      <c r="A1483" s="548"/>
      <c r="B1483" s="2771"/>
      <c r="C1483" s="586" t="s">
        <v>811</v>
      </c>
      <c r="D1483" s="1541" t="s">
        <v>812</v>
      </c>
      <c r="E1483" s="552">
        <v>3434473</v>
      </c>
      <c r="F1483" s="552">
        <v>5142046</v>
      </c>
      <c r="G1483" s="1445">
        <f t="shared" si="244"/>
        <v>1.4971863223265987</v>
      </c>
    </row>
    <row r="1484" spans="1:7" ht="17.100000000000001" customHeight="1" thickBot="1">
      <c r="A1484" s="548"/>
      <c r="B1484" s="603" t="s">
        <v>822</v>
      </c>
      <c r="C1484" s="560"/>
      <c r="D1484" s="561" t="s">
        <v>823</v>
      </c>
      <c r="E1484" s="562">
        <f t="shared" ref="E1484:F1485" si="262">SUM(E1485)</f>
        <v>405556</v>
      </c>
      <c r="F1484" s="562">
        <f t="shared" si="262"/>
        <v>1019652</v>
      </c>
      <c r="G1484" s="1478">
        <f t="shared" si="244"/>
        <v>2.514207655662843</v>
      </c>
    </row>
    <row r="1485" spans="1:7">
      <c r="A1485" s="548"/>
      <c r="B1485" s="2771"/>
      <c r="C1485" s="2908" t="s">
        <v>523</v>
      </c>
      <c r="D1485" s="2908"/>
      <c r="E1485" s="564">
        <f t="shared" si="262"/>
        <v>405556</v>
      </c>
      <c r="F1485" s="564">
        <f t="shared" si="262"/>
        <v>1019652</v>
      </c>
      <c r="G1485" s="1497">
        <f t="shared" si="244"/>
        <v>2.514207655662843</v>
      </c>
    </row>
    <row r="1486" spans="1:7">
      <c r="A1486" s="548"/>
      <c r="B1486" s="2771"/>
      <c r="C1486" s="2999" t="s">
        <v>524</v>
      </c>
      <c r="D1486" s="2999"/>
      <c r="E1486" s="2009">
        <f t="shared" ref="E1486:F1486" si="263">E1487</f>
        <v>405556</v>
      </c>
      <c r="F1486" s="2009">
        <f t="shared" si="263"/>
        <v>1019652</v>
      </c>
      <c r="G1486" s="2010">
        <f t="shared" si="244"/>
        <v>2.514207655662843</v>
      </c>
    </row>
    <row r="1487" spans="1:7" ht="39" thickBot="1">
      <c r="A1487" s="548"/>
      <c r="B1487" s="2771"/>
      <c r="C1487" s="2043" t="s">
        <v>811</v>
      </c>
      <c r="D1487" s="2044" t="s">
        <v>812</v>
      </c>
      <c r="E1487" s="2045">
        <v>405556</v>
      </c>
      <c r="F1487" s="2045">
        <v>1019652</v>
      </c>
      <c r="G1487" s="2046">
        <f t="shared" si="244"/>
        <v>2.514207655662843</v>
      </c>
    </row>
    <row r="1488" spans="1:7" ht="13.5" thickBot="1">
      <c r="A1488" s="548"/>
      <c r="B1488" s="559" t="s">
        <v>824</v>
      </c>
      <c r="C1488" s="560"/>
      <c r="D1488" s="561" t="s">
        <v>402</v>
      </c>
      <c r="E1488" s="562">
        <f>E1489+E1493</f>
        <v>2550000</v>
      </c>
      <c r="F1488" s="562">
        <f t="shared" ref="F1488" si="264">F1489+F1493</f>
        <v>868000</v>
      </c>
      <c r="G1488" s="1478">
        <f t="shared" si="244"/>
        <v>0.3403921568627451</v>
      </c>
    </row>
    <row r="1489" spans="1:7" ht="15">
      <c r="A1489" s="548"/>
      <c r="B1489" s="575"/>
      <c r="C1489" s="2985" t="s">
        <v>470</v>
      </c>
      <c r="D1489" s="2961"/>
      <c r="E1489" s="581">
        <f>E1490</f>
        <v>0</v>
      </c>
      <c r="F1489" s="581">
        <f t="shared" ref="F1489:F1490" si="265">F1490</f>
        <v>80000</v>
      </c>
      <c r="G1489" s="1586"/>
    </row>
    <row r="1490" spans="1:7" ht="15">
      <c r="A1490" s="548"/>
      <c r="B1490" s="575"/>
      <c r="C1490" s="2986" t="s">
        <v>14</v>
      </c>
      <c r="D1490" s="2987"/>
      <c r="E1490" s="2047">
        <f>E1491</f>
        <v>0</v>
      </c>
      <c r="F1490" s="2047">
        <f t="shared" si="265"/>
        <v>80000</v>
      </c>
      <c r="G1490" s="2048"/>
    </row>
    <row r="1491" spans="1:7" ht="27" customHeight="1">
      <c r="A1491" s="548"/>
      <c r="B1491" s="575"/>
      <c r="C1491" s="2039" t="s">
        <v>817</v>
      </c>
      <c r="D1491" s="2040" t="s">
        <v>818</v>
      </c>
      <c r="E1491" s="2047">
        <v>0</v>
      </c>
      <c r="F1491" s="2047">
        <v>80000</v>
      </c>
      <c r="G1491" s="2048"/>
    </row>
    <row r="1492" spans="1:7" ht="15">
      <c r="A1492" s="548"/>
      <c r="B1492" s="575"/>
      <c r="C1492" s="2985"/>
      <c r="D1492" s="2961"/>
      <c r="E1492" s="581"/>
      <c r="F1492" s="581"/>
      <c r="G1492" s="1586"/>
    </row>
    <row r="1493" spans="1:7">
      <c r="A1493" s="548"/>
      <c r="B1493" s="2998"/>
      <c r="C1493" s="2879" t="s">
        <v>523</v>
      </c>
      <c r="D1493" s="2879"/>
      <c r="E1493" s="549">
        <f t="shared" ref="E1493:F1494" si="266">E1494</f>
        <v>2550000</v>
      </c>
      <c r="F1493" s="549">
        <f t="shared" si="266"/>
        <v>788000</v>
      </c>
      <c r="G1493" s="1424">
        <f t="shared" si="244"/>
        <v>0.30901960784313726</v>
      </c>
    </row>
    <row r="1494" spans="1:7">
      <c r="A1494" s="548"/>
      <c r="B1494" s="2998"/>
      <c r="C1494" s="2999" t="s">
        <v>641</v>
      </c>
      <c r="D1494" s="2999"/>
      <c r="E1494" s="2009">
        <f t="shared" si="266"/>
        <v>2550000</v>
      </c>
      <c r="F1494" s="2009">
        <f t="shared" si="266"/>
        <v>788000</v>
      </c>
      <c r="G1494" s="2010">
        <f t="shared" si="244"/>
        <v>0.30901960784313726</v>
      </c>
    </row>
    <row r="1495" spans="1:7" ht="39" thickBot="1">
      <c r="A1495" s="548"/>
      <c r="B1495" s="2998"/>
      <c r="C1495" s="2043" t="s">
        <v>811</v>
      </c>
      <c r="D1495" s="2044" t="s">
        <v>812</v>
      </c>
      <c r="E1495" s="2045">
        <v>2550000</v>
      </c>
      <c r="F1495" s="2045">
        <v>788000</v>
      </c>
      <c r="G1495" s="2046">
        <f t="shared" si="244"/>
        <v>0.30901960784313726</v>
      </c>
    </row>
    <row r="1496" spans="1:7" ht="17.100000000000001" customHeight="1" thickBot="1">
      <c r="A1496" s="548"/>
      <c r="B1496" s="559" t="s">
        <v>825</v>
      </c>
      <c r="C1496" s="560"/>
      <c r="D1496" s="561" t="s">
        <v>826</v>
      </c>
      <c r="E1496" s="562">
        <f>E1497+E1505</f>
        <v>4239450</v>
      </c>
      <c r="F1496" s="562">
        <f>F1497+F1505</f>
        <v>2451828</v>
      </c>
      <c r="G1496" s="1478">
        <f t="shared" si="244"/>
        <v>0.57833634079892438</v>
      </c>
    </row>
    <row r="1497" spans="1:7" ht="17.100000000000001" customHeight="1">
      <c r="A1497" s="548"/>
      <c r="B1497" s="746"/>
      <c r="C1497" s="2853" t="s">
        <v>470</v>
      </c>
      <c r="D1497" s="2853"/>
      <c r="E1497" s="549">
        <f t="shared" ref="E1497:F1497" si="267">E1498+E1502</f>
        <v>3951450</v>
      </c>
      <c r="F1497" s="549">
        <f t="shared" si="267"/>
        <v>2375828</v>
      </c>
      <c r="G1497" s="1424">
        <f t="shared" ref="G1497:G1569" si="268">F1497/E1497</f>
        <v>0.60125472927659462</v>
      </c>
    </row>
    <row r="1498" spans="1:7" ht="17.100000000000001" customHeight="1">
      <c r="A1498" s="548"/>
      <c r="B1498" s="746"/>
      <c r="C1498" s="3000" t="s">
        <v>471</v>
      </c>
      <c r="D1498" s="3000"/>
      <c r="E1498" s="2009">
        <f t="shared" ref="E1498:F1499" si="269">E1499</f>
        <v>2818900</v>
      </c>
      <c r="F1498" s="2009">
        <f t="shared" si="269"/>
        <v>1243278</v>
      </c>
      <c r="G1498" s="2010">
        <f t="shared" si="268"/>
        <v>0.44105076448259961</v>
      </c>
    </row>
    <row r="1499" spans="1:7" ht="17.100000000000001" customHeight="1">
      <c r="A1499" s="548"/>
      <c r="B1499" s="2888"/>
      <c r="C1499" s="3001" t="s">
        <v>483</v>
      </c>
      <c r="D1499" s="3001"/>
      <c r="E1499" s="2011">
        <f t="shared" si="269"/>
        <v>2818900</v>
      </c>
      <c r="F1499" s="2011">
        <f t="shared" si="269"/>
        <v>1243278</v>
      </c>
      <c r="G1499" s="2012">
        <f t="shared" si="268"/>
        <v>0.44105076448259961</v>
      </c>
    </row>
    <row r="1500" spans="1:7" ht="17.100000000000001" customHeight="1">
      <c r="A1500" s="548"/>
      <c r="B1500" s="2888"/>
      <c r="C1500" s="2049" t="s">
        <v>494</v>
      </c>
      <c r="D1500" s="2050" t="s">
        <v>495</v>
      </c>
      <c r="E1500" s="2009">
        <v>2818900</v>
      </c>
      <c r="F1500" s="2009">
        <v>1243278</v>
      </c>
      <c r="G1500" s="2010">
        <f t="shared" si="268"/>
        <v>0.44105076448259961</v>
      </c>
    </row>
    <row r="1501" spans="1:7" ht="17.100000000000001" customHeight="1">
      <c r="A1501" s="548"/>
      <c r="B1501" s="2888"/>
      <c r="C1501" s="553"/>
      <c r="D1501" s="553"/>
      <c r="E1501" s="550"/>
      <c r="F1501" s="550"/>
      <c r="G1501" s="1433"/>
    </row>
    <row r="1502" spans="1:7" ht="17.100000000000001" customHeight="1">
      <c r="A1502" s="548"/>
      <c r="B1502" s="2888"/>
      <c r="C1502" s="2999" t="s">
        <v>567</v>
      </c>
      <c r="D1502" s="2999"/>
      <c r="E1502" s="2009">
        <f t="shared" ref="E1502:F1502" si="270">E1503</f>
        <v>1132550</v>
      </c>
      <c r="F1502" s="2009">
        <f t="shared" si="270"/>
        <v>1132550</v>
      </c>
      <c r="G1502" s="2010">
        <f t="shared" si="268"/>
        <v>1</v>
      </c>
    </row>
    <row r="1503" spans="1:7" ht="30" customHeight="1">
      <c r="A1503" s="548"/>
      <c r="B1503" s="2888"/>
      <c r="C1503" s="2049" t="s">
        <v>817</v>
      </c>
      <c r="D1503" s="2050" t="s">
        <v>818</v>
      </c>
      <c r="E1503" s="2009">
        <v>1132550</v>
      </c>
      <c r="F1503" s="2009">
        <v>1132550</v>
      </c>
      <c r="G1503" s="2010">
        <f t="shared" si="268"/>
        <v>1</v>
      </c>
    </row>
    <row r="1504" spans="1:7" ht="15" customHeight="1">
      <c r="A1504" s="548"/>
      <c r="B1504" s="746"/>
      <c r="C1504" s="1633"/>
      <c r="D1504" s="1644"/>
      <c r="E1504" s="564"/>
      <c r="F1504" s="564"/>
      <c r="G1504" s="2010"/>
    </row>
    <row r="1505" spans="1:7" ht="17.25" customHeight="1">
      <c r="A1505" s="548"/>
      <c r="B1505" s="746"/>
      <c r="C1505" s="2879" t="s">
        <v>523</v>
      </c>
      <c r="D1505" s="2879"/>
      <c r="E1505" s="549">
        <f>E1506</f>
        <v>288000</v>
      </c>
      <c r="F1505" s="549">
        <f>F1506</f>
        <v>76000</v>
      </c>
      <c r="G1505" s="2010">
        <f t="shared" si="268"/>
        <v>0.2638888888888889</v>
      </c>
    </row>
    <row r="1506" spans="1:7" ht="18" customHeight="1">
      <c r="A1506" s="548"/>
      <c r="B1506" s="746"/>
      <c r="C1506" s="2999" t="s">
        <v>641</v>
      </c>
      <c r="D1506" s="2999"/>
      <c r="E1506" s="2009">
        <f>E1507</f>
        <v>288000</v>
      </c>
      <c r="F1506" s="2009">
        <f>F1507</f>
        <v>76000</v>
      </c>
      <c r="G1506" s="2010">
        <f t="shared" si="268"/>
        <v>0.2638888888888889</v>
      </c>
    </row>
    <row r="1507" spans="1:7" ht="37.5" customHeight="1" thickBot="1">
      <c r="A1507" s="548"/>
      <c r="B1507" s="746"/>
      <c r="C1507" s="2051" t="s">
        <v>811</v>
      </c>
      <c r="D1507" s="2052" t="s">
        <v>812</v>
      </c>
      <c r="E1507" s="2053">
        <v>288000</v>
      </c>
      <c r="F1507" s="2053">
        <v>76000</v>
      </c>
      <c r="G1507" s="2054">
        <f t="shared" si="268"/>
        <v>0.2638888888888889</v>
      </c>
    </row>
    <row r="1508" spans="1:7" ht="17.100000000000001" customHeight="1" thickBot="1">
      <c r="A1508" s="548"/>
      <c r="B1508" s="559" t="s">
        <v>121</v>
      </c>
      <c r="C1508" s="653"/>
      <c r="D1508" s="1535" t="s">
        <v>827</v>
      </c>
      <c r="E1508" s="632">
        <f t="shared" ref="E1508:F1509" si="271">E1509</f>
        <v>150001</v>
      </c>
      <c r="F1508" s="632">
        <f t="shared" si="271"/>
        <v>150000</v>
      </c>
      <c r="G1508" s="1478">
        <f t="shared" si="268"/>
        <v>0.99999333337777752</v>
      </c>
    </row>
    <row r="1509" spans="1:7" ht="17.100000000000001" customHeight="1">
      <c r="A1509" s="548"/>
      <c r="B1509" s="2771"/>
      <c r="C1509" s="2879" t="s">
        <v>470</v>
      </c>
      <c r="D1509" s="2879"/>
      <c r="E1509" s="549">
        <f t="shared" si="271"/>
        <v>150001</v>
      </c>
      <c r="F1509" s="549">
        <f t="shared" si="271"/>
        <v>150000</v>
      </c>
      <c r="G1509" s="1424">
        <f t="shared" si="268"/>
        <v>0.99999333337777752</v>
      </c>
    </row>
    <row r="1510" spans="1:7" ht="17.100000000000001" customHeight="1">
      <c r="A1510" s="548"/>
      <c r="B1510" s="2771"/>
      <c r="C1510" s="2999" t="s">
        <v>567</v>
      </c>
      <c r="D1510" s="2999"/>
      <c r="E1510" s="2009">
        <f>SUM(E1511:E1511)</f>
        <v>150001</v>
      </c>
      <c r="F1510" s="2009">
        <f t="shared" ref="F1510" si="272">SUM(F1511:F1511)</f>
        <v>150000</v>
      </c>
      <c r="G1510" s="2010">
        <f t="shared" si="268"/>
        <v>0.99999333337777752</v>
      </c>
    </row>
    <row r="1511" spans="1:7" ht="50.25" customHeight="1" thickBot="1">
      <c r="A1511" s="548"/>
      <c r="B1511" s="2771"/>
      <c r="C1511" s="2043" t="s">
        <v>582</v>
      </c>
      <c r="D1511" s="2044" t="s">
        <v>583</v>
      </c>
      <c r="E1511" s="2045">
        <v>150001</v>
      </c>
      <c r="F1511" s="2045">
        <v>150000</v>
      </c>
      <c r="G1511" s="2046">
        <f t="shared" si="268"/>
        <v>0.99999333337777752</v>
      </c>
    </row>
    <row r="1512" spans="1:7" ht="17.100000000000001" customHeight="1" thickBot="1">
      <c r="A1512" s="548"/>
      <c r="B1512" s="559" t="s">
        <v>122</v>
      </c>
      <c r="C1512" s="560"/>
      <c r="D1512" s="561" t="s">
        <v>828</v>
      </c>
      <c r="E1512" s="562">
        <f t="shared" ref="E1512:F1512" si="273">SUM(E1513)</f>
        <v>357800</v>
      </c>
      <c r="F1512" s="562">
        <f t="shared" si="273"/>
        <v>520339</v>
      </c>
      <c r="G1512" s="1478">
        <f t="shared" si="268"/>
        <v>1.45427333705981</v>
      </c>
    </row>
    <row r="1513" spans="1:7" ht="17.100000000000001" customHeight="1">
      <c r="A1513" s="548"/>
      <c r="B1513" s="746"/>
      <c r="C1513" s="2853" t="s">
        <v>470</v>
      </c>
      <c r="D1513" s="2853"/>
      <c r="E1513" s="549">
        <f>E1514+E1520</f>
        <v>357800</v>
      </c>
      <c r="F1513" s="549">
        <f t="shared" ref="F1513" si="274">F1514+F1520</f>
        <v>520339</v>
      </c>
      <c r="G1513" s="1424">
        <f t="shared" si="268"/>
        <v>1.45427333705981</v>
      </c>
    </row>
    <row r="1514" spans="1:7" ht="17.100000000000001" customHeight="1">
      <c r="A1514" s="548"/>
      <c r="B1514" s="746"/>
      <c r="C1514" s="3000" t="s">
        <v>471</v>
      </c>
      <c r="D1514" s="3000"/>
      <c r="E1514" s="2009">
        <f t="shared" ref="E1514:F1514" si="275">E1515</f>
        <v>30000</v>
      </c>
      <c r="F1514" s="2009">
        <f t="shared" si="275"/>
        <v>30000</v>
      </c>
      <c r="G1514" s="2010">
        <f t="shared" si="268"/>
        <v>1</v>
      </c>
    </row>
    <row r="1515" spans="1:7" ht="17.100000000000001" customHeight="1">
      <c r="A1515" s="548"/>
      <c r="B1515" s="746"/>
      <c r="C1515" s="3001" t="s">
        <v>483</v>
      </c>
      <c r="D1515" s="3001"/>
      <c r="E1515" s="2009">
        <f>SUM(E1516:E1518)</f>
        <v>30000</v>
      </c>
      <c r="F1515" s="2009">
        <f>SUM(F1516:F1518)</f>
        <v>30000</v>
      </c>
      <c r="G1515" s="2010">
        <f t="shared" si="268"/>
        <v>1</v>
      </c>
    </row>
    <row r="1516" spans="1:7" ht="17.100000000000001" customHeight="1">
      <c r="A1516" s="548"/>
      <c r="B1516" s="746"/>
      <c r="C1516" s="2055" t="s">
        <v>577</v>
      </c>
      <c r="D1516" s="2050" t="s">
        <v>551</v>
      </c>
      <c r="E1516" s="2009">
        <v>23000</v>
      </c>
      <c r="F1516" s="2009">
        <v>30000</v>
      </c>
      <c r="G1516" s="2010">
        <f t="shared" si="268"/>
        <v>1.3043478260869565</v>
      </c>
    </row>
    <row r="1517" spans="1:7" ht="17.100000000000001" hidden="1" customHeight="1">
      <c r="A1517" s="548"/>
      <c r="B1517" s="746"/>
      <c r="C1517" s="2056" t="s">
        <v>486</v>
      </c>
      <c r="D1517" s="2057" t="s">
        <v>487</v>
      </c>
      <c r="E1517" s="564">
        <v>4000</v>
      </c>
      <c r="F1517" s="564">
        <v>0</v>
      </c>
      <c r="G1517" s="2010">
        <f t="shared" si="268"/>
        <v>0</v>
      </c>
    </row>
    <row r="1518" spans="1:7" ht="17.100000000000001" hidden="1" customHeight="1">
      <c r="A1518" s="548"/>
      <c r="B1518" s="746"/>
      <c r="C1518" s="1549" t="s">
        <v>496</v>
      </c>
      <c r="D1518" s="651" t="s">
        <v>497</v>
      </c>
      <c r="E1518" s="564">
        <v>3000</v>
      </c>
      <c r="F1518" s="564">
        <v>0</v>
      </c>
      <c r="G1518" s="2010">
        <f t="shared" si="268"/>
        <v>0</v>
      </c>
    </row>
    <row r="1519" spans="1:7" ht="17.100000000000001" customHeight="1">
      <c r="A1519" s="548"/>
      <c r="B1519" s="746"/>
      <c r="C1519" s="634"/>
      <c r="D1519" s="553"/>
      <c r="E1519" s="550"/>
      <c r="F1519" s="550"/>
      <c r="G1519" s="1433"/>
    </row>
    <row r="1520" spans="1:7" ht="17.100000000000001" customHeight="1">
      <c r="A1520" s="548"/>
      <c r="B1520" s="746"/>
      <c r="C1520" s="3002" t="s">
        <v>567</v>
      </c>
      <c r="D1520" s="3003"/>
      <c r="E1520" s="2017">
        <f t="shared" ref="E1520:F1520" si="276">SUM(E1521:E1521)</f>
        <v>327800</v>
      </c>
      <c r="F1520" s="2017">
        <f t="shared" si="276"/>
        <v>490339</v>
      </c>
      <c r="G1520" s="2018">
        <f t="shared" si="268"/>
        <v>1.4958480780964003</v>
      </c>
    </row>
    <row r="1521" spans="1:7" ht="51.75" customHeight="1" thickBot="1">
      <c r="A1521" s="548"/>
      <c r="B1521" s="746"/>
      <c r="C1521" s="2043" t="s">
        <v>582</v>
      </c>
      <c r="D1521" s="2044" t="s">
        <v>583</v>
      </c>
      <c r="E1521" s="2045">
        <v>327800</v>
      </c>
      <c r="F1521" s="2045">
        <v>490339</v>
      </c>
      <c r="G1521" s="2046">
        <f t="shared" si="268"/>
        <v>1.4958480780964003</v>
      </c>
    </row>
    <row r="1522" spans="1:7" ht="27.75" customHeight="1" thickBot="1">
      <c r="A1522" s="548"/>
      <c r="B1522" s="559" t="s">
        <v>829</v>
      </c>
      <c r="C1522" s="560"/>
      <c r="D1522" s="561" t="s">
        <v>405</v>
      </c>
      <c r="E1522" s="562">
        <f t="shared" ref="E1522:F1525" si="277">E1523</f>
        <v>25000</v>
      </c>
      <c r="F1522" s="562">
        <f t="shared" si="277"/>
        <v>25000</v>
      </c>
      <c r="G1522" s="1478">
        <f t="shared" si="268"/>
        <v>1</v>
      </c>
    </row>
    <row r="1523" spans="1:7" ht="17.100000000000001" customHeight="1">
      <c r="A1523" s="548"/>
      <c r="B1523" s="2771"/>
      <c r="C1523" s="2853" t="s">
        <v>470</v>
      </c>
      <c r="D1523" s="2853"/>
      <c r="E1523" s="549">
        <f t="shared" si="277"/>
        <v>25000</v>
      </c>
      <c r="F1523" s="549">
        <f t="shared" si="277"/>
        <v>25000</v>
      </c>
      <c r="G1523" s="1424">
        <f t="shared" si="268"/>
        <v>1</v>
      </c>
    </row>
    <row r="1524" spans="1:7" ht="17.100000000000001" customHeight="1">
      <c r="A1524" s="548"/>
      <c r="B1524" s="2771"/>
      <c r="C1524" s="3000" t="s">
        <v>471</v>
      </c>
      <c r="D1524" s="3000"/>
      <c r="E1524" s="2009">
        <f t="shared" si="277"/>
        <v>25000</v>
      </c>
      <c r="F1524" s="2009">
        <f t="shared" si="277"/>
        <v>25000</v>
      </c>
      <c r="G1524" s="2010">
        <f t="shared" si="268"/>
        <v>1</v>
      </c>
    </row>
    <row r="1525" spans="1:7" ht="17.100000000000001" customHeight="1">
      <c r="A1525" s="548"/>
      <c r="B1525" s="2771"/>
      <c r="C1525" s="3001" t="s">
        <v>483</v>
      </c>
      <c r="D1525" s="3001"/>
      <c r="E1525" s="2009">
        <f t="shared" si="277"/>
        <v>25000</v>
      </c>
      <c r="F1525" s="2009">
        <f t="shared" si="277"/>
        <v>25000</v>
      </c>
      <c r="G1525" s="2010">
        <f t="shared" si="268"/>
        <v>1</v>
      </c>
    </row>
    <row r="1526" spans="1:7" ht="17.100000000000001" customHeight="1" thickBot="1">
      <c r="A1526" s="548"/>
      <c r="B1526" s="2771"/>
      <c r="C1526" s="2043" t="s">
        <v>830</v>
      </c>
      <c r="D1526" s="2044" t="s">
        <v>831</v>
      </c>
      <c r="E1526" s="2045">
        <v>25000</v>
      </c>
      <c r="F1526" s="2045">
        <v>25000</v>
      </c>
      <c r="G1526" s="2046">
        <f t="shared" si="268"/>
        <v>1</v>
      </c>
    </row>
    <row r="1527" spans="1:7" ht="17.100000000000001" customHeight="1" thickBot="1">
      <c r="A1527" s="548"/>
      <c r="B1527" s="559" t="s">
        <v>832</v>
      </c>
      <c r="C1527" s="560"/>
      <c r="D1527" s="561" t="s">
        <v>239</v>
      </c>
      <c r="E1527" s="562">
        <f>SUM(E1528)</f>
        <v>82361</v>
      </c>
      <c r="F1527" s="562">
        <f t="shared" ref="F1527" si="278">SUM(F1528)</f>
        <v>37880</v>
      </c>
      <c r="G1527" s="1478">
        <f t="shared" si="268"/>
        <v>0.45992642148589746</v>
      </c>
    </row>
    <row r="1528" spans="1:7" ht="17.100000000000001" customHeight="1">
      <c r="A1528" s="548"/>
      <c r="B1528" s="741"/>
      <c r="C1528" s="2853" t="s">
        <v>470</v>
      </c>
      <c r="D1528" s="2853"/>
      <c r="E1528" s="549">
        <f>E1529+E1536</f>
        <v>82361</v>
      </c>
      <c r="F1528" s="549">
        <f>F1529+F1536</f>
        <v>37880</v>
      </c>
      <c r="G1528" s="1424">
        <f t="shared" si="268"/>
        <v>0.45992642148589746</v>
      </c>
    </row>
    <row r="1529" spans="1:7" ht="17.100000000000001" customHeight="1">
      <c r="A1529" s="548"/>
      <c r="B1529" s="746"/>
      <c r="C1529" s="3000" t="s">
        <v>471</v>
      </c>
      <c r="D1529" s="3000"/>
      <c r="E1529" s="2053">
        <f t="shared" ref="E1529:F1529" si="279">E1530+E1533</f>
        <v>72562</v>
      </c>
      <c r="F1529" s="2053">
        <f t="shared" si="279"/>
        <v>37880</v>
      </c>
      <c r="G1529" s="2054">
        <f t="shared" si="268"/>
        <v>0.52203632755436735</v>
      </c>
    </row>
    <row r="1530" spans="1:7" ht="17.100000000000001" customHeight="1">
      <c r="A1530" s="548"/>
      <c r="B1530" s="746"/>
      <c r="C1530" s="3005" t="s">
        <v>472</v>
      </c>
      <c r="D1530" s="3005"/>
      <c r="E1530" s="2053">
        <f t="shared" ref="E1530:F1530" si="280">SUM(E1531:E1531)</f>
        <v>62562</v>
      </c>
      <c r="F1530" s="2053">
        <f t="shared" si="280"/>
        <v>35080</v>
      </c>
      <c r="G1530" s="2054">
        <f t="shared" si="268"/>
        <v>0.56072376202806817</v>
      </c>
    </row>
    <row r="1531" spans="1:7" ht="17.100000000000001" customHeight="1">
      <c r="A1531" s="548"/>
      <c r="B1531" s="746"/>
      <c r="C1531" s="2049" t="s">
        <v>481</v>
      </c>
      <c r="D1531" s="2050" t="s">
        <v>482</v>
      </c>
      <c r="E1531" s="2058">
        <v>62562</v>
      </c>
      <c r="F1531" s="2058">
        <v>35080</v>
      </c>
      <c r="G1531" s="2059">
        <f t="shared" si="268"/>
        <v>0.56072376202806817</v>
      </c>
    </row>
    <row r="1532" spans="1:7" ht="17.100000000000001" customHeight="1">
      <c r="A1532" s="548"/>
      <c r="B1532" s="746"/>
      <c r="C1532" s="553"/>
      <c r="D1532" s="553"/>
      <c r="E1532" s="550"/>
      <c r="F1532" s="550"/>
      <c r="G1532" s="1433"/>
    </row>
    <row r="1533" spans="1:7" ht="17.100000000000001" customHeight="1">
      <c r="A1533" s="548"/>
      <c r="B1533" s="746"/>
      <c r="C1533" s="3006" t="s">
        <v>483</v>
      </c>
      <c r="D1533" s="3006"/>
      <c r="E1533" s="2041">
        <f>SUM(E1534:E1534)</f>
        <v>10000</v>
      </c>
      <c r="F1533" s="2041">
        <f t="shared" ref="F1533" si="281">SUM(F1534:F1534)</f>
        <v>2800</v>
      </c>
      <c r="G1533" s="2042">
        <f t="shared" si="268"/>
        <v>0.28000000000000003</v>
      </c>
    </row>
    <row r="1534" spans="1:7" ht="17.100000000000001" customHeight="1" thickBot="1">
      <c r="A1534" s="548"/>
      <c r="B1534" s="746"/>
      <c r="C1534" s="2060" t="s">
        <v>496</v>
      </c>
      <c r="D1534" s="2061" t="s">
        <v>497</v>
      </c>
      <c r="E1534" s="1954">
        <v>10000</v>
      </c>
      <c r="F1534" s="1954">
        <v>2800</v>
      </c>
      <c r="G1534" s="1848">
        <f t="shared" si="268"/>
        <v>0.28000000000000003</v>
      </c>
    </row>
    <row r="1535" spans="1:7" ht="18" hidden="1" customHeight="1">
      <c r="A1535" s="548"/>
      <c r="B1535" s="746"/>
      <c r="C1535" s="3007"/>
      <c r="D1535" s="3008"/>
      <c r="E1535" s="551"/>
      <c r="F1535" s="551"/>
      <c r="G1535" s="1848"/>
    </row>
    <row r="1536" spans="1:7" ht="17.100000000000001" hidden="1" customHeight="1">
      <c r="A1536" s="548"/>
      <c r="B1536" s="746"/>
      <c r="C1536" s="3009" t="s">
        <v>567</v>
      </c>
      <c r="D1536" s="3010"/>
      <c r="E1536" s="1954">
        <f>E1537</f>
        <v>9799</v>
      </c>
      <c r="F1536" s="1954">
        <f>F1537</f>
        <v>0</v>
      </c>
      <c r="G1536" s="1848">
        <f t="shared" si="268"/>
        <v>0</v>
      </c>
    </row>
    <row r="1537" spans="1:7" ht="31.5" hidden="1" customHeight="1" thickBot="1">
      <c r="A1537" s="548"/>
      <c r="B1537" s="746"/>
      <c r="C1537" s="555" t="s">
        <v>277</v>
      </c>
      <c r="D1537" s="1456" t="s">
        <v>657</v>
      </c>
      <c r="E1537" s="551">
        <v>9799</v>
      </c>
      <c r="F1537" s="551">
        <v>0</v>
      </c>
      <c r="G1537" s="1848">
        <f t="shared" si="268"/>
        <v>0</v>
      </c>
    </row>
    <row r="1538" spans="1:7" ht="17.100000000000001" customHeight="1" thickBot="1">
      <c r="A1538" s="545" t="s">
        <v>123</v>
      </c>
      <c r="B1538" s="546"/>
      <c r="C1538" s="1416"/>
      <c r="D1538" s="1417" t="s">
        <v>833</v>
      </c>
      <c r="E1538" s="547">
        <f>SUM(E1539,E1543,E1547,E1603,E1599)</f>
        <v>27653577</v>
      </c>
      <c r="F1538" s="547">
        <f>SUM(F1539,F1543,F1547,F1603,F1599)</f>
        <v>25128683</v>
      </c>
      <c r="G1538" s="1418">
        <f t="shared" si="268"/>
        <v>0.90869557308987547</v>
      </c>
    </row>
    <row r="1539" spans="1:7" ht="17.100000000000001" customHeight="1" thickBot="1">
      <c r="A1539" s="624"/>
      <c r="B1539" s="603" t="s">
        <v>124</v>
      </c>
      <c r="C1539" s="604"/>
      <c r="D1539" s="605" t="s">
        <v>407</v>
      </c>
      <c r="E1539" s="562">
        <f t="shared" ref="E1539:F1540" si="282">E1540</f>
        <v>200000</v>
      </c>
      <c r="F1539" s="562">
        <f t="shared" si="282"/>
        <v>200000</v>
      </c>
      <c r="G1539" s="1478">
        <f t="shared" si="268"/>
        <v>1</v>
      </c>
    </row>
    <row r="1540" spans="1:7" ht="17.100000000000001" customHeight="1">
      <c r="A1540" s="624"/>
      <c r="B1540" s="2864"/>
      <c r="C1540" s="2853" t="s">
        <v>470</v>
      </c>
      <c r="D1540" s="2853"/>
      <c r="E1540" s="549">
        <f>E1541</f>
        <v>200000</v>
      </c>
      <c r="F1540" s="549">
        <f t="shared" si="282"/>
        <v>200000</v>
      </c>
      <c r="G1540" s="1424">
        <f t="shared" si="268"/>
        <v>1</v>
      </c>
    </row>
    <row r="1541" spans="1:7" ht="17.100000000000001" customHeight="1">
      <c r="A1541" s="624"/>
      <c r="B1541" s="2864"/>
      <c r="C1541" s="3000" t="s">
        <v>567</v>
      </c>
      <c r="D1541" s="3000"/>
      <c r="E1541" s="1954">
        <f>SUM(E1542:E1542)</f>
        <v>200000</v>
      </c>
      <c r="F1541" s="1954">
        <f t="shared" ref="F1541" si="283">SUM(F1542:F1542)</f>
        <v>200000</v>
      </c>
      <c r="G1541" s="1848">
        <f t="shared" si="268"/>
        <v>1</v>
      </c>
    </row>
    <row r="1542" spans="1:7" ht="51.75" thickBot="1">
      <c r="A1542" s="624"/>
      <c r="B1542" s="2864"/>
      <c r="C1542" s="2062" t="s">
        <v>582</v>
      </c>
      <c r="D1542" s="2063" t="s">
        <v>834</v>
      </c>
      <c r="E1542" s="2041">
        <v>200000</v>
      </c>
      <c r="F1542" s="2041">
        <v>200000</v>
      </c>
      <c r="G1542" s="2042">
        <f t="shared" si="268"/>
        <v>1</v>
      </c>
    </row>
    <row r="1543" spans="1:7" ht="26.25" hidden="1" thickBot="1">
      <c r="A1543" s="624"/>
      <c r="B1543" s="603" t="s">
        <v>835</v>
      </c>
      <c r="C1543" s="604"/>
      <c r="D1543" s="605" t="s">
        <v>836</v>
      </c>
      <c r="E1543" s="576">
        <f>E1544</f>
        <v>0</v>
      </c>
      <c r="F1543" s="576">
        <f t="shared" ref="F1543:F1545" si="284">F1544</f>
        <v>0</v>
      </c>
      <c r="G1543" s="1536" t="e">
        <f t="shared" si="268"/>
        <v>#DIV/0!</v>
      </c>
    </row>
    <row r="1544" spans="1:7" ht="17.25" hidden="1" customHeight="1">
      <c r="A1544" s="624"/>
      <c r="B1544" s="2864"/>
      <c r="C1544" s="2853" t="s">
        <v>523</v>
      </c>
      <c r="D1544" s="2853"/>
      <c r="E1544" s="635">
        <f>E1545</f>
        <v>0</v>
      </c>
      <c r="F1544" s="635">
        <f t="shared" si="284"/>
        <v>0</v>
      </c>
      <c r="G1544" s="2064" t="e">
        <f t="shared" si="268"/>
        <v>#DIV/0!</v>
      </c>
    </row>
    <row r="1545" spans="1:7" ht="17.25" hidden="1" customHeight="1">
      <c r="A1545" s="624"/>
      <c r="B1545" s="2864"/>
      <c r="C1545" s="3004" t="s">
        <v>524</v>
      </c>
      <c r="D1545" s="3004"/>
      <c r="E1545" s="2015">
        <f>E1546</f>
        <v>0</v>
      </c>
      <c r="F1545" s="2015">
        <f t="shared" si="284"/>
        <v>0</v>
      </c>
      <c r="G1545" s="2016" t="e">
        <f t="shared" si="268"/>
        <v>#DIV/0!</v>
      </c>
    </row>
    <row r="1546" spans="1:7" ht="40.5" hidden="1" customHeight="1" thickBot="1">
      <c r="A1546" s="624"/>
      <c r="B1546" s="2864"/>
      <c r="C1546" s="2065" t="s">
        <v>642</v>
      </c>
      <c r="D1546" s="2066" t="s">
        <v>643</v>
      </c>
      <c r="E1546" s="2015"/>
      <c r="F1546" s="2015">
        <v>0</v>
      </c>
      <c r="G1546" s="2016" t="e">
        <f t="shared" si="268"/>
        <v>#DIV/0!</v>
      </c>
    </row>
    <row r="1547" spans="1:7" ht="17.100000000000001" customHeight="1" thickBot="1">
      <c r="A1547" s="548"/>
      <c r="B1547" s="559" t="s">
        <v>125</v>
      </c>
      <c r="C1547" s="560"/>
      <c r="D1547" s="561" t="s">
        <v>409</v>
      </c>
      <c r="E1547" s="562">
        <f t="shared" ref="E1547:F1547" si="285">E1548+E1595</f>
        <v>4087638</v>
      </c>
      <c r="F1547" s="562">
        <f t="shared" si="285"/>
        <v>4680117</v>
      </c>
      <c r="G1547" s="1478">
        <f t="shared" si="268"/>
        <v>1.1449440973002012</v>
      </c>
    </row>
    <row r="1548" spans="1:7" ht="17.100000000000001" customHeight="1">
      <c r="A1548" s="548"/>
      <c r="B1548" s="746"/>
      <c r="C1548" s="2853" t="s">
        <v>470</v>
      </c>
      <c r="D1548" s="2853"/>
      <c r="E1548" s="549">
        <f>E1549+E1580+E1583</f>
        <v>3877438</v>
      </c>
      <c r="F1548" s="549">
        <f>F1549+F1580+F1583</f>
        <v>3777117</v>
      </c>
      <c r="G1548" s="1424">
        <f t="shared" si="268"/>
        <v>0.97412698797504949</v>
      </c>
    </row>
    <row r="1549" spans="1:7" ht="17.100000000000001" customHeight="1">
      <c r="A1549" s="548"/>
      <c r="B1549" s="746"/>
      <c r="C1549" s="3000" t="s">
        <v>471</v>
      </c>
      <c r="D1549" s="3000"/>
      <c r="E1549" s="2009">
        <f t="shared" ref="E1549:F1549" si="286">E1550+E1557</f>
        <v>3187978</v>
      </c>
      <c r="F1549" s="2009">
        <f t="shared" si="286"/>
        <v>3090627</v>
      </c>
      <c r="G1549" s="2010">
        <f t="shared" si="268"/>
        <v>0.96946308914302415</v>
      </c>
    </row>
    <row r="1550" spans="1:7" ht="17.100000000000001" customHeight="1">
      <c r="A1550" s="548"/>
      <c r="B1550" s="746"/>
      <c r="C1550" s="3005" t="s">
        <v>472</v>
      </c>
      <c r="D1550" s="3005"/>
      <c r="E1550" s="2011">
        <f t="shared" ref="E1550:F1550" si="287">SUM(E1551:E1555)</f>
        <v>2378509</v>
      </c>
      <c r="F1550" s="2011">
        <f t="shared" si="287"/>
        <v>2374623</v>
      </c>
      <c r="G1550" s="2012">
        <f t="shared" si="268"/>
        <v>0.99836620336521742</v>
      </c>
    </row>
    <row r="1551" spans="1:7" ht="17.100000000000001" customHeight="1">
      <c r="A1551" s="548"/>
      <c r="B1551" s="746"/>
      <c r="C1551" s="2049" t="s">
        <v>473</v>
      </c>
      <c r="D1551" s="2050" t="s">
        <v>474</v>
      </c>
      <c r="E1551" s="2009">
        <v>1879399</v>
      </c>
      <c r="F1551" s="2009">
        <v>1816506</v>
      </c>
      <c r="G1551" s="2010">
        <f t="shared" si="268"/>
        <v>0.96653557866105066</v>
      </c>
    </row>
    <row r="1552" spans="1:7" ht="17.100000000000001" customHeight="1">
      <c r="A1552" s="548"/>
      <c r="B1552" s="746"/>
      <c r="C1552" s="2049" t="s">
        <v>475</v>
      </c>
      <c r="D1552" s="2050" t="s">
        <v>476</v>
      </c>
      <c r="E1552" s="2009">
        <v>120890</v>
      </c>
      <c r="F1552" s="2009">
        <v>168423</v>
      </c>
      <c r="G1552" s="2010">
        <f t="shared" si="268"/>
        <v>1.3931921581603111</v>
      </c>
    </row>
    <row r="1553" spans="1:7" ht="17.100000000000001" customHeight="1">
      <c r="A1553" s="548"/>
      <c r="B1553" s="746"/>
      <c r="C1553" s="2049" t="s">
        <v>477</v>
      </c>
      <c r="D1553" s="2050" t="s">
        <v>478</v>
      </c>
      <c r="E1553" s="2009">
        <v>320069</v>
      </c>
      <c r="F1553" s="2009">
        <v>329947</v>
      </c>
      <c r="G1553" s="2010">
        <f t="shared" si="268"/>
        <v>1.030862095360688</v>
      </c>
    </row>
    <row r="1554" spans="1:7" ht="27.75" customHeight="1">
      <c r="A1554" s="548"/>
      <c r="B1554" s="746"/>
      <c r="C1554" s="2049" t="s">
        <v>479</v>
      </c>
      <c r="D1554" s="2050" t="s">
        <v>1028</v>
      </c>
      <c r="E1554" s="2009">
        <v>42751</v>
      </c>
      <c r="F1554" s="2009">
        <v>47747</v>
      </c>
      <c r="G1554" s="2010">
        <f t="shared" si="268"/>
        <v>1.1168627634441299</v>
      </c>
    </row>
    <row r="1555" spans="1:7" ht="17.100000000000001" customHeight="1">
      <c r="A1555" s="548"/>
      <c r="B1555" s="746"/>
      <c r="C1555" s="1668" t="s">
        <v>481</v>
      </c>
      <c r="D1555" s="1669" t="s">
        <v>482</v>
      </c>
      <c r="E1555" s="2009">
        <v>15400</v>
      </c>
      <c r="F1555" s="2009">
        <v>12000</v>
      </c>
      <c r="G1555" s="2010">
        <f t="shared" si="268"/>
        <v>0.77922077922077926</v>
      </c>
    </row>
    <row r="1556" spans="1:7" ht="17.100000000000001" customHeight="1">
      <c r="A1556" s="548"/>
      <c r="B1556" s="746"/>
      <c r="C1556" s="553"/>
      <c r="D1556" s="553"/>
      <c r="E1556" s="550"/>
      <c r="F1556" s="550"/>
      <c r="G1556" s="1433"/>
    </row>
    <row r="1557" spans="1:7" ht="17.100000000000001" customHeight="1">
      <c r="A1557" s="548"/>
      <c r="B1557" s="746"/>
      <c r="C1557" s="3001" t="s">
        <v>483</v>
      </c>
      <c r="D1557" s="3001"/>
      <c r="E1557" s="2011">
        <f t="shared" ref="E1557:F1557" si="288">SUM(E1558:E1578)</f>
        <v>809469</v>
      </c>
      <c r="F1557" s="2011">
        <f t="shared" si="288"/>
        <v>716004</v>
      </c>
      <c r="G1557" s="2012">
        <f t="shared" si="268"/>
        <v>0.88453541766268995</v>
      </c>
    </row>
    <row r="1558" spans="1:7" ht="17.100000000000001" customHeight="1">
      <c r="A1558" s="548"/>
      <c r="B1558" s="746"/>
      <c r="C1558" s="2049" t="s">
        <v>484</v>
      </c>
      <c r="D1558" s="2050" t="s">
        <v>485</v>
      </c>
      <c r="E1558" s="2009">
        <v>10000</v>
      </c>
      <c r="F1558" s="2009">
        <v>18066</v>
      </c>
      <c r="G1558" s="2010">
        <f t="shared" si="268"/>
        <v>1.8066</v>
      </c>
    </row>
    <row r="1559" spans="1:7" ht="17.100000000000001" customHeight="1">
      <c r="A1559" s="548"/>
      <c r="B1559" s="746"/>
      <c r="C1559" s="2049" t="s">
        <v>577</v>
      </c>
      <c r="D1559" s="2050" t="s">
        <v>551</v>
      </c>
      <c r="E1559" s="2009">
        <v>22000</v>
      </c>
      <c r="F1559" s="2009">
        <v>22440</v>
      </c>
      <c r="G1559" s="2010">
        <f t="shared" si="268"/>
        <v>1.02</v>
      </c>
    </row>
    <row r="1560" spans="1:7" ht="17.100000000000001" customHeight="1">
      <c r="A1560" s="548"/>
      <c r="B1560" s="746"/>
      <c r="C1560" s="2049" t="s">
        <v>486</v>
      </c>
      <c r="D1560" s="2050" t="s">
        <v>487</v>
      </c>
      <c r="E1560" s="2009">
        <v>141677</v>
      </c>
      <c r="F1560" s="2009">
        <v>132226</v>
      </c>
      <c r="G1560" s="2010">
        <f t="shared" si="268"/>
        <v>0.93329192458902999</v>
      </c>
    </row>
    <row r="1561" spans="1:7" ht="17.100000000000001" customHeight="1">
      <c r="A1561" s="548"/>
      <c r="B1561" s="746"/>
      <c r="C1561" s="2049" t="s">
        <v>488</v>
      </c>
      <c r="D1561" s="2050" t="s">
        <v>489</v>
      </c>
      <c r="E1561" s="2009">
        <v>4000</v>
      </c>
      <c r="F1561" s="2009">
        <v>4179</v>
      </c>
      <c r="G1561" s="2010">
        <f t="shared" si="268"/>
        <v>1.0447500000000001</v>
      </c>
    </row>
    <row r="1562" spans="1:7" ht="17.100000000000001" customHeight="1">
      <c r="A1562" s="548"/>
      <c r="B1562" s="746"/>
      <c r="C1562" s="2049" t="s">
        <v>490</v>
      </c>
      <c r="D1562" s="2050" t="s">
        <v>491</v>
      </c>
      <c r="E1562" s="2009">
        <v>83963</v>
      </c>
      <c r="F1562" s="2009">
        <v>89127</v>
      </c>
      <c r="G1562" s="2010">
        <f t="shared" si="268"/>
        <v>1.0615032812071985</v>
      </c>
    </row>
    <row r="1563" spans="1:7" ht="17.100000000000001" customHeight="1">
      <c r="A1563" s="548"/>
      <c r="B1563" s="746"/>
      <c r="C1563" s="2049" t="s">
        <v>492</v>
      </c>
      <c r="D1563" s="2050" t="s">
        <v>493</v>
      </c>
      <c r="E1563" s="2009">
        <v>78969</v>
      </c>
      <c r="F1563" s="2009">
        <v>15107</v>
      </c>
      <c r="G1563" s="2010">
        <f t="shared" si="268"/>
        <v>0.19130291633425775</v>
      </c>
    </row>
    <row r="1564" spans="1:7" ht="17.100000000000001" customHeight="1">
      <c r="A1564" s="548"/>
      <c r="B1564" s="746"/>
      <c r="C1564" s="2049" t="s">
        <v>494</v>
      </c>
      <c r="D1564" s="2050" t="s">
        <v>495</v>
      </c>
      <c r="E1564" s="2009">
        <v>4800</v>
      </c>
      <c r="F1564" s="2009">
        <v>6300</v>
      </c>
      <c r="G1564" s="2010">
        <f t="shared" si="268"/>
        <v>1.3125</v>
      </c>
    </row>
    <row r="1565" spans="1:7" ht="17.100000000000001" customHeight="1">
      <c r="A1565" s="548"/>
      <c r="B1565" s="746"/>
      <c r="C1565" s="2049" t="s">
        <v>496</v>
      </c>
      <c r="D1565" s="2050" t="s">
        <v>497</v>
      </c>
      <c r="E1565" s="2009">
        <v>232265</v>
      </c>
      <c r="F1565" s="2009">
        <v>227023</v>
      </c>
      <c r="G1565" s="2010">
        <f t="shared" si="268"/>
        <v>0.97743095171463634</v>
      </c>
    </row>
    <row r="1566" spans="1:7" ht="16.5" customHeight="1">
      <c r="A1566" s="548"/>
      <c r="B1566" s="746"/>
      <c r="C1566" s="2049" t="s">
        <v>498</v>
      </c>
      <c r="D1566" s="2050" t="s">
        <v>499</v>
      </c>
      <c r="E1566" s="2009">
        <v>17769</v>
      </c>
      <c r="F1566" s="2009">
        <v>15008</v>
      </c>
      <c r="G1566" s="2010">
        <f t="shared" si="268"/>
        <v>0.8446170296583938</v>
      </c>
    </row>
    <row r="1567" spans="1:7" ht="16.5" hidden="1" customHeight="1">
      <c r="A1567" s="548"/>
      <c r="B1567" s="746"/>
      <c r="C1567" s="2049" t="s">
        <v>686</v>
      </c>
      <c r="D1567" s="2050" t="s">
        <v>649</v>
      </c>
      <c r="E1567" s="2009"/>
      <c r="F1567" s="2009"/>
      <c r="G1567" s="2010" t="e">
        <f t="shared" si="268"/>
        <v>#DIV/0!</v>
      </c>
    </row>
    <row r="1568" spans="1:7" ht="16.5" customHeight="1">
      <c r="A1568" s="548"/>
      <c r="B1568" s="746"/>
      <c r="C1568" s="2049" t="s">
        <v>500</v>
      </c>
      <c r="D1568" s="2050" t="s">
        <v>501</v>
      </c>
      <c r="E1568" s="2009">
        <v>55000</v>
      </c>
      <c r="F1568" s="2009">
        <v>56100</v>
      </c>
      <c r="G1568" s="2010">
        <f t="shared" si="268"/>
        <v>1.02</v>
      </c>
    </row>
    <row r="1569" spans="1:7" ht="24.75" customHeight="1">
      <c r="A1569" s="548"/>
      <c r="B1569" s="746"/>
      <c r="C1569" s="2049" t="s">
        <v>502</v>
      </c>
      <c r="D1569" s="2050" t="s">
        <v>503</v>
      </c>
      <c r="E1569" s="2009">
        <v>10217</v>
      </c>
      <c r="F1569" s="2009">
        <v>1800</v>
      </c>
      <c r="G1569" s="2010">
        <f t="shared" si="268"/>
        <v>0.17617695996867966</v>
      </c>
    </row>
    <row r="1570" spans="1:7" ht="17.100000000000001" customHeight="1">
      <c r="A1570" s="548"/>
      <c r="B1570" s="746"/>
      <c r="C1570" s="2049" t="s">
        <v>504</v>
      </c>
      <c r="D1570" s="2050" t="s">
        <v>505</v>
      </c>
      <c r="E1570" s="2009">
        <v>13000</v>
      </c>
      <c r="F1570" s="2009">
        <v>11000</v>
      </c>
      <c r="G1570" s="2010">
        <f t="shared" ref="G1570:G1644" si="289">F1570/E1570</f>
        <v>0.84615384615384615</v>
      </c>
    </row>
    <row r="1571" spans="1:7" ht="17.100000000000001" customHeight="1">
      <c r="A1571" s="548"/>
      <c r="B1571" s="746"/>
      <c r="C1571" s="2049" t="s">
        <v>630</v>
      </c>
      <c r="D1571" s="2050" t="s">
        <v>631</v>
      </c>
      <c r="E1571" s="2009">
        <v>3500</v>
      </c>
      <c r="F1571" s="2009">
        <v>5000</v>
      </c>
      <c r="G1571" s="2010">
        <f t="shared" si="289"/>
        <v>1.4285714285714286</v>
      </c>
    </row>
    <row r="1572" spans="1:7" ht="17.100000000000001" customHeight="1">
      <c r="A1572" s="548"/>
      <c r="B1572" s="746"/>
      <c r="C1572" s="2049" t="s">
        <v>506</v>
      </c>
      <c r="D1572" s="2050" t="s">
        <v>507</v>
      </c>
      <c r="E1572" s="2009">
        <v>7142</v>
      </c>
      <c r="F1572" s="2009">
        <v>6430</v>
      </c>
      <c r="G1572" s="2010">
        <f t="shared" si="289"/>
        <v>0.90030803696443573</v>
      </c>
    </row>
    <row r="1573" spans="1:7" ht="17.100000000000001" customHeight="1">
      <c r="A1573" s="548"/>
      <c r="B1573" s="746"/>
      <c r="C1573" s="2049" t="s">
        <v>508</v>
      </c>
      <c r="D1573" s="2050" t="s">
        <v>509</v>
      </c>
      <c r="E1573" s="2009">
        <v>62478</v>
      </c>
      <c r="F1573" s="2009">
        <v>60216</v>
      </c>
      <c r="G1573" s="2010">
        <f t="shared" si="289"/>
        <v>0.96379525593008741</v>
      </c>
    </row>
    <row r="1574" spans="1:7" ht="17.100000000000001" customHeight="1">
      <c r="A1574" s="548"/>
      <c r="B1574" s="746"/>
      <c r="C1574" s="2049" t="s">
        <v>510</v>
      </c>
      <c r="D1574" s="2050" t="s">
        <v>511</v>
      </c>
      <c r="E1574" s="2009">
        <v>20161</v>
      </c>
      <c r="F1574" s="2009">
        <v>17850</v>
      </c>
      <c r="G1574" s="2010">
        <f t="shared" si="289"/>
        <v>0.88537274936759092</v>
      </c>
    </row>
    <row r="1575" spans="1:7" ht="17.100000000000001" customHeight="1">
      <c r="A1575" s="548"/>
      <c r="B1575" s="746"/>
      <c r="C1575" s="2049" t="s">
        <v>514</v>
      </c>
      <c r="D1575" s="2050" t="s">
        <v>515</v>
      </c>
      <c r="E1575" s="2009">
        <v>21928</v>
      </c>
      <c r="F1575" s="2009">
        <v>13932</v>
      </c>
      <c r="G1575" s="2010">
        <f t="shared" si="289"/>
        <v>0.63535206129149946</v>
      </c>
    </row>
    <row r="1576" spans="1:7" ht="17.100000000000001" customHeight="1">
      <c r="A1576" s="548"/>
      <c r="B1576" s="746"/>
      <c r="C1576" s="2051" t="s">
        <v>516</v>
      </c>
      <c r="D1576" s="2050" t="s">
        <v>517</v>
      </c>
      <c r="E1576" s="2009">
        <v>4000</v>
      </c>
      <c r="F1576" s="2009">
        <v>2500</v>
      </c>
      <c r="G1576" s="2010">
        <f t="shared" si="289"/>
        <v>0.625</v>
      </c>
    </row>
    <row r="1577" spans="1:7" ht="17.100000000000001" hidden="1" customHeight="1">
      <c r="A1577" s="548"/>
      <c r="B1577" s="746"/>
      <c r="C1577" s="555" t="s">
        <v>580</v>
      </c>
      <c r="D1577" s="2050" t="s">
        <v>581</v>
      </c>
      <c r="E1577" s="2009"/>
      <c r="F1577" s="2009"/>
      <c r="G1577" s="2010" t="e">
        <f t="shared" si="289"/>
        <v>#DIV/0!</v>
      </c>
    </row>
    <row r="1578" spans="1:7" ht="17.100000000000001" customHeight="1">
      <c r="A1578" s="548"/>
      <c r="B1578" s="746"/>
      <c r="C1578" s="2043" t="s">
        <v>518</v>
      </c>
      <c r="D1578" s="2044" t="s">
        <v>519</v>
      </c>
      <c r="E1578" s="2009">
        <v>16600</v>
      </c>
      <c r="F1578" s="2009">
        <v>11700</v>
      </c>
      <c r="G1578" s="2010">
        <f t="shared" si="289"/>
        <v>0.70481927710843373</v>
      </c>
    </row>
    <row r="1579" spans="1:7" ht="17.100000000000001" customHeight="1">
      <c r="A1579" s="548"/>
      <c r="B1579" s="746"/>
      <c r="C1579" s="2067"/>
      <c r="D1579" s="2068"/>
      <c r="E1579" s="2069"/>
      <c r="F1579" s="2069"/>
      <c r="G1579" s="2070"/>
    </row>
    <row r="1580" spans="1:7" ht="17.100000000000001" customHeight="1">
      <c r="A1580" s="548"/>
      <c r="B1580" s="746"/>
      <c r="C1580" s="2852" t="s">
        <v>567</v>
      </c>
      <c r="D1580" s="2852"/>
      <c r="E1580" s="564">
        <f>E1581</f>
        <v>680000</v>
      </c>
      <c r="F1580" s="564">
        <f t="shared" ref="F1580" si="290">F1581</f>
        <v>680000</v>
      </c>
      <c r="G1580" s="1497">
        <f t="shared" si="289"/>
        <v>1</v>
      </c>
    </row>
    <row r="1581" spans="1:7" ht="49.5" customHeight="1">
      <c r="A1581" s="548"/>
      <c r="B1581" s="746"/>
      <c r="C1581" s="2049" t="s">
        <v>582</v>
      </c>
      <c r="D1581" s="2050" t="s">
        <v>583</v>
      </c>
      <c r="E1581" s="2009">
        <v>680000</v>
      </c>
      <c r="F1581" s="2009">
        <v>680000</v>
      </c>
      <c r="G1581" s="2010">
        <f t="shared" si="289"/>
        <v>1</v>
      </c>
    </row>
    <row r="1582" spans="1:7" ht="17.100000000000001" customHeight="1">
      <c r="A1582" s="548"/>
      <c r="B1582" s="746"/>
      <c r="C1582" s="553"/>
      <c r="D1582" s="553"/>
      <c r="E1582" s="550"/>
      <c r="F1582" s="550"/>
      <c r="G1582" s="1433"/>
    </row>
    <row r="1583" spans="1:7" ht="17.100000000000001" customHeight="1">
      <c r="A1583" s="548"/>
      <c r="B1583" s="2888"/>
      <c r="C1583" s="2989" t="s">
        <v>520</v>
      </c>
      <c r="D1583" s="2989"/>
      <c r="E1583" s="2015">
        <f t="shared" ref="E1583:F1583" si="291">SUM(E1584:E1593)</f>
        <v>9460</v>
      </c>
      <c r="F1583" s="2015">
        <f t="shared" si="291"/>
        <v>6490</v>
      </c>
      <c r="G1583" s="2016">
        <f t="shared" si="289"/>
        <v>0.68604651162790697</v>
      </c>
    </row>
    <row r="1584" spans="1:7" ht="15.75" customHeight="1">
      <c r="A1584" s="548"/>
      <c r="B1584" s="2888"/>
      <c r="C1584" s="2049" t="s">
        <v>521</v>
      </c>
      <c r="D1584" s="2050" t="s">
        <v>522</v>
      </c>
      <c r="E1584" s="2058">
        <v>8460</v>
      </c>
      <c r="F1584" s="2058">
        <v>6490</v>
      </c>
      <c r="G1584" s="2059">
        <f t="shared" si="289"/>
        <v>0.7671394799054374</v>
      </c>
    </row>
    <row r="1585" spans="1:7" ht="17.100000000000001" hidden="1" customHeight="1">
      <c r="A1585" s="548"/>
      <c r="B1585" s="2888"/>
      <c r="C1585" s="2071"/>
      <c r="D1585" s="2072" t="s">
        <v>837</v>
      </c>
      <c r="E1585" s="2073"/>
      <c r="F1585" s="2073"/>
      <c r="G1585" s="2074" t="e">
        <f t="shared" si="289"/>
        <v>#DIV/0!</v>
      </c>
    </row>
    <row r="1586" spans="1:7" ht="17.100000000000001" hidden="1" customHeight="1">
      <c r="A1586" s="548"/>
      <c r="B1586" s="2888"/>
      <c r="C1586" s="3011" t="s">
        <v>470</v>
      </c>
      <c r="D1586" s="3011"/>
      <c r="E1586" s="2075"/>
      <c r="F1586" s="2075"/>
      <c r="G1586" s="2076" t="e">
        <f t="shared" si="289"/>
        <v>#DIV/0!</v>
      </c>
    </row>
    <row r="1587" spans="1:7" ht="17.100000000000001" hidden="1" customHeight="1">
      <c r="A1587" s="548"/>
      <c r="B1587" s="2888"/>
      <c r="C1587" s="3000" t="s">
        <v>567</v>
      </c>
      <c r="D1587" s="3000"/>
      <c r="E1587" s="2009"/>
      <c r="F1587" s="2009"/>
      <c r="G1587" s="2010" t="e">
        <f t="shared" si="289"/>
        <v>#DIV/0!</v>
      </c>
    </row>
    <row r="1588" spans="1:7" ht="36.75" hidden="1" customHeight="1">
      <c r="A1588" s="548"/>
      <c r="B1588" s="2888"/>
      <c r="C1588" s="2049" t="s">
        <v>420</v>
      </c>
      <c r="D1588" s="2050" t="s">
        <v>611</v>
      </c>
      <c r="E1588" s="2009"/>
      <c r="F1588" s="2009"/>
      <c r="G1588" s="2010" t="e">
        <f t="shared" si="289"/>
        <v>#DIV/0!</v>
      </c>
    </row>
    <row r="1589" spans="1:7" ht="17.100000000000001" hidden="1" customHeight="1">
      <c r="A1589" s="548"/>
      <c r="B1589" s="2888"/>
      <c r="C1589" s="2071"/>
      <c r="D1589" s="2072" t="s">
        <v>838</v>
      </c>
      <c r="E1589" s="2073"/>
      <c r="F1589" s="2073"/>
      <c r="G1589" s="2074" t="e">
        <f t="shared" si="289"/>
        <v>#DIV/0!</v>
      </c>
    </row>
    <row r="1590" spans="1:7" ht="17.100000000000001" hidden="1" customHeight="1">
      <c r="A1590" s="548"/>
      <c r="B1590" s="2888"/>
      <c r="C1590" s="3011" t="s">
        <v>470</v>
      </c>
      <c r="D1590" s="3011"/>
      <c r="E1590" s="2075"/>
      <c r="F1590" s="2075"/>
      <c r="G1590" s="2076" t="e">
        <f t="shared" si="289"/>
        <v>#DIV/0!</v>
      </c>
    </row>
    <row r="1591" spans="1:7" ht="17.100000000000001" hidden="1" customHeight="1">
      <c r="A1591" s="548"/>
      <c r="B1591" s="2888"/>
      <c r="C1591" s="3000" t="s">
        <v>567</v>
      </c>
      <c r="D1591" s="3000"/>
      <c r="E1591" s="2009"/>
      <c r="F1591" s="2009"/>
      <c r="G1591" s="2010" t="e">
        <f t="shared" si="289"/>
        <v>#DIV/0!</v>
      </c>
    </row>
    <row r="1592" spans="1:7" ht="0.75" hidden="1" customHeight="1">
      <c r="A1592" s="548"/>
      <c r="B1592" s="2888"/>
      <c r="C1592" s="2049" t="s">
        <v>420</v>
      </c>
      <c r="D1592" s="2050" t="s">
        <v>611</v>
      </c>
      <c r="E1592" s="2009"/>
      <c r="F1592" s="2009"/>
      <c r="G1592" s="2010" t="e">
        <f t="shared" si="289"/>
        <v>#DIV/0!</v>
      </c>
    </row>
    <row r="1593" spans="1:7" ht="17.25" hidden="1" customHeight="1">
      <c r="A1593" s="548"/>
      <c r="B1593" s="2888"/>
      <c r="C1593" s="2049" t="s">
        <v>682</v>
      </c>
      <c r="D1593" s="2050" t="s">
        <v>507</v>
      </c>
      <c r="E1593" s="2009">
        <v>1000</v>
      </c>
      <c r="F1593" s="2009">
        <v>0</v>
      </c>
      <c r="G1593" s="2010">
        <f t="shared" si="289"/>
        <v>0</v>
      </c>
    </row>
    <row r="1594" spans="1:7" ht="17.25" customHeight="1">
      <c r="A1594" s="548"/>
      <c r="B1594" s="2888"/>
      <c r="C1594" s="553"/>
      <c r="D1594" s="553"/>
      <c r="E1594" s="550"/>
      <c r="F1594" s="550"/>
      <c r="G1594" s="2010"/>
    </row>
    <row r="1595" spans="1:7" ht="17.25" customHeight="1">
      <c r="A1595" s="548"/>
      <c r="B1595" s="2888"/>
      <c r="C1595" s="2988" t="s">
        <v>523</v>
      </c>
      <c r="D1595" s="2988"/>
      <c r="E1595" s="2075">
        <f t="shared" ref="E1595:F1595" si="292">E1596</f>
        <v>210200</v>
      </c>
      <c r="F1595" s="2075">
        <f t="shared" si="292"/>
        <v>903000</v>
      </c>
      <c r="G1595" s="2010">
        <f t="shared" si="289"/>
        <v>4.2959086584205517</v>
      </c>
    </row>
    <row r="1596" spans="1:7" ht="17.25" customHeight="1">
      <c r="A1596" s="548"/>
      <c r="B1596" s="2888"/>
      <c r="C1596" s="2999" t="s">
        <v>524</v>
      </c>
      <c r="D1596" s="2999"/>
      <c r="E1596" s="2009">
        <f>SUM(E1598+E1597)</f>
        <v>210200</v>
      </c>
      <c r="F1596" s="2009">
        <f>SUM(F1598+F1597)</f>
        <v>903000</v>
      </c>
      <c r="G1596" s="2010">
        <f t="shared" si="289"/>
        <v>4.2959086584205517</v>
      </c>
    </row>
    <row r="1597" spans="1:7" ht="17.25" customHeight="1" thickBot="1">
      <c r="A1597" s="548"/>
      <c r="B1597" s="2888"/>
      <c r="C1597" s="2077" t="s">
        <v>531</v>
      </c>
      <c r="D1597" s="2078" t="s">
        <v>526</v>
      </c>
      <c r="E1597" s="2015">
        <v>198200</v>
      </c>
      <c r="F1597" s="2015">
        <v>903000</v>
      </c>
      <c r="G1597" s="2010">
        <f t="shared" si="289"/>
        <v>4.5560040363269421</v>
      </c>
    </row>
    <row r="1598" spans="1:7" ht="17.25" hidden="1" customHeight="1" thickBot="1">
      <c r="A1598" s="548"/>
      <c r="B1598" s="2888"/>
      <c r="C1598" s="2043" t="s">
        <v>525</v>
      </c>
      <c r="D1598" s="2044" t="s">
        <v>571</v>
      </c>
      <c r="E1598" s="2015">
        <v>12000</v>
      </c>
      <c r="F1598" s="2015">
        <v>0</v>
      </c>
      <c r="G1598" s="2010">
        <f t="shared" si="289"/>
        <v>0</v>
      </c>
    </row>
    <row r="1599" spans="1:7" ht="17.100000000000001" hidden="1" customHeight="1" thickBot="1">
      <c r="A1599" s="548"/>
      <c r="B1599" s="559" t="s">
        <v>839</v>
      </c>
      <c r="C1599" s="560"/>
      <c r="D1599" s="561" t="s">
        <v>840</v>
      </c>
      <c r="E1599" s="562">
        <f t="shared" ref="E1599:F1601" si="293">E1600</f>
        <v>100000</v>
      </c>
      <c r="F1599" s="562">
        <f t="shared" si="293"/>
        <v>0</v>
      </c>
      <c r="G1599" s="1478">
        <f>F1599/E1599</f>
        <v>0</v>
      </c>
    </row>
    <row r="1600" spans="1:7" ht="17.25" hidden="1" customHeight="1">
      <c r="A1600" s="548"/>
      <c r="B1600" s="746"/>
      <c r="C1600" s="2908" t="s">
        <v>523</v>
      </c>
      <c r="D1600" s="2908"/>
      <c r="E1600" s="627">
        <f t="shared" si="293"/>
        <v>100000</v>
      </c>
      <c r="F1600" s="627">
        <f t="shared" si="293"/>
        <v>0</v>
      </c>
      <c r="G1600" s="2079">
        <f>F1600/E1600</f>
        <v>0</v>
      </c>
    </row>
    <row r="1601" spans="1:8" ht="17.25" hidden="1" customHeight="1">
      <c r="A1601" s="548"/>
      <c r="B1601" s="746"/>
      <c r="C1601" s="2999" t="s">
        <v>524</v>
      </c>
      <c r="D1601" s="2999"/>
      <c r="E1601" s="2009">
        <f t="shared" si="293"/>
        <v>100000</v>
      </c>
      <c r="F1601" s="2009">
        <f t="shared" si="293"/>
        <v>0</v>
      </c>
      <c r="G1601" s="2016">
        <f t="shared" ref="G1601:G1602" si="294">F1601/E1601</f>
        <v>0</v>
      </c>
    </row>
    <row r="1602" spans="1:8" ht="43.5" hidden="1" customHeight="1" thickBot="1">
      <c r="A1602" s="548"/>
      <c r="B1602" s="746"/>
      <c r="C1602" s="2043" t="s">
        <v>720</v>
      </c>
      <c r="D1602" s="2044" t="s">
        <v>721</v>
      </c>
      <c r="E1602" s="551">
        <v>100000</v>
      </c>
      <c r="F1602" s="551">
        <v>0</v>
      </c>
      <c r="G1602" s="1445">
        <f t="shared" si="294"/>
        <v>0</v>
      </c>
    </row>
    <row r="1603" spans="1:8" ht="17.100000000000001" customHeight="1" thickBot="1">
      <c r="A1603" s="548"/>
      <c r="B1603" s="559" t="s">
        <v>841</v>
      </c>
      <c r="C1603" s="560"/>
      <c r="D1603" s="561" t="s">
        <v>239</v>
      </c>
      <c r="E1603" s="562">
        <f>E1604+E1669</f>
        <v>23265939</v>
      </c>
      <c r="F1603" s="562">
        <f>F1604+F1669</f>
        <v>20248566</v>
      </c>
      <c r="G1603" s="1478">
        <f t="shared" si="289"/>
        <v>0.8703094252933441</v>
      </c>
    </row>
    <row r="1604" spans="1:8" ht="17.100000000000001" customHeight="1">
      <c r="A1604" s="548"/>
      <c r="B1604" s="563"/>
      <c r="C1604" s="2853" t="s">
        <v>470</v>
      </c>
      <c r="D1604" s="2853"/>
      <c r="E1604" s="549">
        <f>E1605+E1612</f>
        <v>22767611</v>
      </c>
      <c r="F1604" s="549">
        <f>F1605+F1612</f>
        <v>19263910</v>
      </c>
      <c r="G1604" s="1424">
        <f t="shared" si="289"/>
        <v>0.84611029237981972</v>
      </c>
    </row>
    <row r="1605" spans="1:8" ht="17.100000000000001" customHeight="1">
      <c r="A1605" s="548"/>
      <c r="B1605" s="563"/>
      <c r="C1605" s="3000" t="s">
        <v>567</v>
      </c>
      <c r="D1605" s="3000"/>
      <c r="E1605" s="2009">
        <f>SUM(E1606:E1610)</f>
        <v>17274147</v>
      </c>
      <c r="F1605" s="2009">
        <f>SUM(F1606:F1610)</f>
        <v>13461220</v>
      </c>
      <c r="G1605" s="2010">
        <f t="shared" si="289"/>
        <v>0.77926973760267293</v>
      </c>
    </row>
    <row r="1606" spans="1:8" ht="53.25" customHeight="1">
      <c r="A1606" s="548"/>
      <c r="B1606" s="563"/>
      <c r="C1606" s="2049" t="s">
        <v>420</v>
      </c>
      <c r="D1606" s="2050" t="s">
        <v>592</v>
      </c>
      <c r="E1606" s="2009">
        <v>13988513</v>
      </c>
      <c r="F1606" s="2009">
        <v>10697879</v>
      </c>
      <c r="G1606" s="2010">
        <f t="shared" si="289"/>
        <v>0.76476170126159948</v>
      </c>
    </row>
    <row r="1607" spans="1:8" ht="54.75" customHeight="1">
      <c r="A1607" s="548"/>
      <c r="B1607" s="563"/>
      <c r="C1607" s="2049" t="s">
        <v>303</v>
      </c>
      <c r="D1607" s="1625" t="s">
        <v>539</v>
      </c>
      <c r="E1607" s="2009">
        <v>2506163</v>
      </c>
      <c r="F1607" s="2009">
        <v>2763341</v>
      </c>
      <c r="G1607" s="2010">
        <f t="shared" si="289"/>
        <v>1.1026182255503731</v>
      </c>
      <c r="H1607" s="636"/>
    </row>
    <row r="1608" spans="1:8" ht="42.75" hidden="1" customHeight="1">
      <c r="A1608" s="548"/>
      <c r="B1608" s="563"/>
      <c r="C1608" s="2077" t="s">
        <v>582</v>
      </c>
      <c r="D1608" s="2080" t="s">
        <v>583</v>
      </c>
      <c r="E1608" s="2009">
        <v>26420</v>
      </c>
      <c r="F1608" s="564">
        <v>0</v>
      </c>
      <c r="G1608" s="1497">
        <f t="shared" si="289"/>
        <v>0</v>
      </c>
    </row>
    <row r="1609" spans="1:8" ht="42.75" hidden="1" customHeight="1">
      <c r="A1609" s="548"/>
      <c r="B1609" s="563"/>
      <c r="C1609" s="2056" t="s">
        <v>391</v>
      </c>
      <c r="D1609" s="2081" t="s">
        <v>593</v>
      </c>
      <c r="E1609" s="2009">
        <v>1073</v>
      </c>
      <c r="F1609" s="564">
        <v>0</v>
      </c>
      <c r="G1609" s="1497">
        <f t="shared" si="289"/>
        <v>0</v>
      </c>
    </row>
    <row r="1610" spans="1:8" ht="15" hidden="1" customHeight="1">
      <c r="A1610" s="548"/>
      <c r="B1610" s="563"/>
      <c r="C1610" s="2056">
        <v>2959</v>
      </c>
      <c r="D1610" s="2082" t="s">
        <v>594</v>
      </c>
      <c r="E1610" s="2009">
        <v>751978</v>
      </c>
      <c r="F1610" s="564">
        <v>0</v>
      </c>
      <c r="G1610" s="1497">
        <f t="shared" si="289"/>
        <v>0</v>
      </c>
    </row>
    <row r="1611" spans="1:8" ht="18.75" customHeight="1">
      <c r="A1611" s="548"/>
      <c r="B1611" s="563"/>
      <c r="C1611" s="2083"/>
      <c r="D1611" s="637"/>
      <c r="E1611" s="638"/>
      <c r="F1611" s="638"/>
      <c r="G1611" s="2084"/>
    </row>
    <row r="1612" spans="1:8" ht="15.75" customHeight="1">
      <c r="A1612" s="548"/>
      <c r="B1612" s="563"/>
      <c r="C1612" s="3000" t="s">
        <v>536</v>
      </c>
      <c r="D1612" s="3000"/>
      <c r="E1612" s="2009">
        <f>SUM(E1613:E1667)</f>
        <v>5493464</v>
      </c>
      <c r="F1612" s="2009">
        <f>SUM(F1613:F1667)</f>
        <v>5802690</v>
      </c>
      <c r="G1612" s="2010">
        <f t="shared" si="289"/>
        <v>1.0562898018445193</v>
      </c>
    </row>
    <row r="1613" spans="1:8" ht="53.25" customHeight="1">
      <c r="A1613" s="548"/>
      <c r="B1613" s="563"/>
      <c r="C1613" s="2049" t="s">
        <v>381</v>
      </c>
      <c r="D1613" s="1625" t="s">
        <v>539</v>
      </c>
      <c r="E1613" s="2009">
        <v>2724647</v>
      </c>
      <c r="F1613" s="2009">
        <v>3103864</v>
      </c>
      <c r="G1613" s="2010">
        <f t="shared" si="289"/>
        <v>1.1391802314208042</v>
      </c>
    </row>
    <row r="1614" spans="1:8" ht="50.25" customHeight="1">
      <c r="A1614" s="548"/>
      <c r="B1614" s="563"/>
      <c r="C1614" s="2049" t="s">
        <v>303</v>
      </c>
      <c r="D1614" s="1625" t="s">
        <v>539</v>
      </c>
      <c r="E1614" s="2009">
        <v>508204</v>
      </c>
      <c r="F1614" s="2009">
        <v>578937</v>
      </c>
      <c r="G1614" s="2010">
        <f t="shared" si="289"/>
        <v>1.1391822968729093</v>
      </c>
    </row>
    <row r="1615" spans="1:8" ht="39.75" hidden="1" customHeight="1">
      <c r="A1615" s="548"/>
      <c r="B1615" s="563"/>
      <c r="C1615" s="2077" t="s">
        <v>305</v>
      </c>
      <c r="D1615" s="1625" t="s">
        <v>593</v>
      </c>
      <c r="E1615" s="2009">
        <v>3410</v>
      </c>
      <c r="F1615" s="2009">
        <v>0</v>
      </c>
      <c r="G1615" s="2010">
        <f t="shared" si="289"/>
        <v>0</v>
      </c>
    </row>
    <row r="1616" spans="1:8" ht="18" hidden="1" customHeight="1">
      <c r="A1616" s="548"/>
      <c r="B1616" s="563"/>
      <c r="C1616" s="2085" t="s">
        <v>842</v>
      </c>
      <c r="D1616" s="2050" t="s">
        <v>690</v>
      </c>
      <c r="E1616" s="2009">
        <v>4500</v>
      </c>
      <c r="F1616" s="2009">
        <v>0</v>
      </c>
      <c r="G1616" s="2010">
        <f t="shared" si="289"/>
        <v>0</v>
      </c>
    </row>
    <row r="1617" spans="1:7" ht="18" hidden="1" customHeight="1">
      <c r="A1617" s="548"/>
      <c r="B1617" s="563"/>
      <c r="C1617" s="2086" t="s">
        <v>689</v>
      </c>
      <c r="D1617" s="2050" t="s">
        <v>690</v>
      </c>
      <c r="E1617" s="2009"/>
      <c r="F1617" s="2009"/>
      <c r="G1617" s="2010" t="e">
        <f t="shared" si="289"/>
        <v>#DIV/0!</v>
      </c>
    </row>
    <row r="1618" spans="1:7" ht="18" hidden="1" customHeight="1">
      <c r="A1618" s="548"/>
      <c r="B1618" s="563"/>
      <c r="C1618" s="2086" t="s">
        <v>691</v>
      </c>
      <c r="D1618" s="2050" t="s">
        <v>690</v>
      </c>
      <c r="E1618" s="2009"/>
      <c r="F1618" s="2009"/>
      <c r="G1618" s="2010" t="e">
        <f t="shared" si="289"/>
        <v>#DIV/0!</v>
      </c>
    </row>
    <row r="1619" spans="1:7" ht="18" customHeight="1">
      <c r="A1619" s="548"/>
      <c r="B1619" s="563"/>
      <c r="C1619" s="2049" t="s">
        <v>596</v>
      </c>
      <c r="D1619" s="2050" t="s">
        <v>474</v>
      </c>
      <c r="E1619" s="2009">
        <v>446118</v>
      </c>
      <c r="F1619" s="2009">
        <v>470223</v>
      </c>
      <c r="G1619" s="2010">
        <f t="shared" si="289"/>
        <v>1.0540327895310209</v>
      </c>
    </row>
    <row r="1620" spans="1:7" ht="18" customHeight="1">
      <c r="A1620" s="548"/>
      <c r="B1620" s="563"/>
      <c r="C1620" s="2049" t="s">
        <v>540</v>
      </c>
      <c r="D1620" s="2050" t="s">
        <v>474</v>
      </c>
      <c r="E1620" s="2009">
        <v>77453</v>
      </c>
      <c r="F1620" s="2009">
        <v>36434</v>
      </c>
      <c r="G1620" s="2010">
        <f t="shared" si="289"/>
        <v>0.47040140472286418</v>
      </c>
    </row>
    <row r="1621" spans="1:7" ht="18" customHeight="1">
      <c r="A1621" s="548"/>
      <c r="B1621" s="563"/>
      <c r="C1621" s="2049" t="s">
        <v>541</v>
      </c>
      <c r="D1621" s="2050" t="s">
        <v>474</v>
      </c>
      <c r="E1621" s="2009">
        <v>160287</v>
      </c>
      <c r="F1621" s="2009">
        <v>143085</v>
      </c>
      <c r="G1621" s="2010">
        <f t="shared" si="289"/>
        <v>0.89268000524059965</v>
      </c>
    </row>
    <row r="1622" spans="1:7" ht="18" customHeight="1">
      <c r="A1622" s="548"/>
      <c r="B1622" s="563"/>
      <c r="C1622" s="2049" t="s">
        <v>597</v>
      </c>
      <c r="D1622" s="2050" t="s">
        <v>476</v>
      </c>
      <c r="E1622" s="2009">
        <v>43538</v>
      </c>
      <c r="F1622" s="2009">
        <v>32064</v>
      </c>
      <c r="G1622" s="2010">
        <f t="shared" si="289"/>
        <v>0.73646010381735494</v>
      </c>
    </row>
    <row r="1623" spans="1:7" ht="18" customHeight="1">
      <c r="A1623" s="548"/>
      <c r="B1623" s="563"/>
      <c r="C1623" s="2049" t="s">
        <v>543</v>
      </c>
      <c r="D1623" s="2050" t="s">
        <v>476</v>
      </c>
      <c r="E1623" s="2009">
        <v>2053</v>
      </c>
      <c r="F1623" s="2009">
        <v>3431</v>
      </c>
      <c r="G1623" s="2010">
        <f t="shared" si="289"/>
        <v>1.6712128592303945</v>
      </c>
    </row>
    <row r="1624" spans="1:7" ht="18" customHeight="1">
      <c r="A1624" s="548"/>
      <c r="B1624" s="563"/>
      <c r="C1624" s="2049" t="s">
        <v>598</v>
      </c>
      <c r="D1624" s="2050" t="s">
        <v>478</v>
      </c>
      <c r="E1624" s="2009">
        <v>86058</v>
      </c>
      <c r="F1624" s="2009">
        <v>85038</v>
      </c>
      <c r="G1624" s="2010">
        <f t="shared" si="289"/>
        <v>0.98814752841107156</v>
      </c>
    </row>
    <row r="1625" spans="1:7" ht="18" customHeight="1">
      <c r="A1625" s="548"/>
      <c r="B1625" s="563"/>
      <c r="C1625" s="2049" t="s">
        <v>544</v>
      </c>
      <c r="D1625" s="2050" t="s">
        <v>478</v>
      </c>
      <c r="E1625" s="2009">
        <v>13113</v>
      </c>
      <c r="F1625" s="2009">
        <v>6168</v>
      </c>
      <c r="G1625" s="2010">
        <f t="shared" si="289"/>
        <v>0.47037291237703044</v>
      </c>
    </row>
    <row r="1626" spans="1:7" ht="18" customHeight="1">
      <c r="A1626" s="548"/>
      <c r="B1626" s="563"/>
      <c r="C1626" s="2049" t="s">
        <v>545</v>
      </c>
      <c r="D1626" s="2050" t="s">
        <v>478</v>
      </c>
      <c r="E1626" s="2009">
        <v>28263</v>
      </c>
      <c r="F1626" s="2009">
        <v>24804</v>
      </c>
      <c r="G1626" s="2010">
        <f t="shared" si="289"/>
        <v>0.8776138414181085</v>
      </c>
    </row>
    <row r="1627" spans="1:7" ht="29.25" customHeight="1">
      <c r="A1627" s="548"/>
      <c r="B1627" s="563"/>
      <c r="C1627" s="2049" t="s">
        <v>599</v>
      </c>
      <c r="D1627" s="2050" t="s">
        <v>1028</v>
      </c>
      <c r="E1627" s="2009">
        <v>12455</v>
      </c>
      <c r="F1627" s="2009">
        <v>12308</v>
      </c>
      <c r="G1627" s="2010">
        <f t="shared" si="289"/>
        <v>0.98819751103974307</v>
      </c>
    </row>
    <row r="1628" spans="1:7" ht="27.75" customHeight="1">
      <c r="A1628" s="548"/>
      <c r="B1628" s="563"/>
      <c r="C1628" s="2049" t="s">
        <v>546</v>
      </c>
      <c r="D1628" s="2050" t="s">
        <v>1028</v>
      </c>
      <c r="E1628" s="2009">
        <v>1897</v>
      </c>
      <c r="F1628" s="2009">
        <v>892</v>
      </c>
      <c r="G1628" s="2010">
        <f t="shared" si="289"/>
        <v>0.47021613073273588</v>
      </c>
    </row>
    <row r="1629" spans="1:7" ht="31.5" customHeight="1">
      <c r="A1629" s="548"/>
      <c r="B1629" s="563"/>
      <c r="C1629" s="2049" t="s">
        <v>547</v>
      </c>
      <c r="D1629" s="2050" t="s">
        <v>1028</v>
      </c>
      <c r="E1629" s="2009">
        <v>5188</v>
      </c>
      <c r="F1629" s="2009">
        <v>3588</v>
      </c>
      <c r="G1629" s="2010">
        <f t="shared" si="289"/>
        <v>0.6915959907478797</v>
      </c>
    </row>
    <row r="1630" spans="1:7" ht="18" customHeight="1">
      <c r="A1630" s="548"/>
      <c r="B1630" s="563"/>
      <c r="C1630" s="2049" t="s">
        <v>673</v>
      </c>
      <c r="D1630" s="2050" t="s">
        <v>482</v>
      </c>
      <c r="E1630" s="2009">
        <v>297034</v>
      </c>
      <c r="F1630" s="2009">
        <v>315039</v>
      </c>
      <c r="G1630" s="2010">
        <f t="shared" si="289"/>
        <v>1.0606159564224971</v>
      </c>
    </row>
    <row r="1631" spans="1:7" ht="18" customHeight="1">
      <c r="A1631" s="548"/>
      <c r="B1631" s="563"/>
      <c r="C1631" s="2049" t="s">
        <v>549</v>
      </c>
      <c r="D1631" s="2050" t="s">
        <v>482</v>
      </c>
      <c r="E1631" s="2009">
        <v>52270</v>
      </c>
      <c r="F1631" s="2009">
        <v>58761</v>
      </c>
      <c r="G1631" s="2010">
        <f t="shared" si="289"/>
        <v>1.12418213124163</v>
      </c>
    </row>
    <row r="1632" spans="1:7" ht="18" customHeight="1">
      <c r="A1632" s="548"/>
      <c r="B1632" s="563"/>
      <c r="C1632" s="2049" t="s">
        <v>600</v>
      </c>
      <c r="D1632" s="2050" t="s">
        <v>487</v>
      </c>
      <c r="E1632" s="2009">
        <v>9902</v>
      </c>
      <c r="F1632" s="2009">
        <v>12428</v>
      </c>
      <c r="G1632" s="2010">
        <f t="shared" si="289"/>
        <v>1.2550999798020601</v>
      </c>
    </row>
    <row r="1633" spans="1:7" ht="18" customHeight="1">
      <c r="A1633" s="548"/>
      <c r="B1633" s="563"/>
      <c r="C1633" s="2049" t="s">
        <v>553</v>
      </c>
      <c r="D1633" s="2050" t="s">
        <v>487</v>
      </c>
      <c r="E1633" s="2009">
        <v>3400</v>
      </c>
      <c r="F1633" s="2009">
        <v>444</v>
      </c>
      <c r="G1633" s="2010">
        <f t="shared" si="289"/>
        <v>0.13058823529411764</v>
      </c>
    </row>
    <row r="1634" spans="1:7" ht="18" customHeight="1">
      <c r="A1634" s="548"/>
      <c r="B1634" s="563"/>
      <c r="C1634" s="2049" t="s">
        <v>554</v>
      </c>
      <c r="D1634" s="2050" t="s">
        <v>487</v>
      </c>
      <c r="E1634" s="2009">
        <v>1701</v>
      </c>
      <c r="F1634" s="2009">
        <v>1650</v>
      </c>
      <c r="G1634" s="2010">
        <f t="shared" si="289"/>
        <v>0.9700176366843033</v>
      </c>
    </row>
    <row r="1635" spans="1:7" ht="18" customHeight="1">
      <c r="A1635" s="548"/>
      <c r="B1635" s="563"/>
      <c r="C1635" s="2049" t="s">
        <v>785</v>
      </c>
      <c r="D1635" s="2050" t="s">
        <v>489</v>
      </c>
      <c r="E1635" s="2009">
        <v>1037</v>
      </c>
      <c r="F1635" s="2009">
        <v>1517</v>
      </c>
      <c r="G1635" s="2010">
        <f t="shared" si="289"/>
        <v>1.4628736740597879</v>
      </c>
    </row>
    <row r="1636" spans="1:7" ht="18" customHeight="1">
      <c r="A1636" s="548"/>
      <c r="B1636" s="563"/>
      <c r="C1636" s="2049" t="s">
        <v>718</v>
      </c>
      <c r="D1636" s="2050" t="s">
        <v>489</v>
      </c>
      <c r="E1636" s="2009">
        <v>194</v>
      </c>
      <c r="F1636" s="2009">
        <v>283</v>
      </c>
      <c r="G1636" s="2010">
        <f t="shared" si="289"/>
        <v>1.4587628865979381</v>
      </c>
    </row>
    <row r="1637" spans="1:7" ht="18" customHeight="1">
      <c r="A1637" s="548"/>
      <c r="B1637" s="563"/>
      <c r="C1637" s="2049" t="s">
        <v>786</v>
      </c>
      <c r="D1637" s="2050" t="s">
        <v>491</v>
      </c>
      <c r="E1637" s="2009">
        <v>1879</v>
      </c>
      <c r="F1637" s="2009">
        <v>2950</v>
      </c>
      <c r="G1637" s="2010">
        <f t="shared" si="289"/>
        <v>1.5699840340606706</v>
      </c>
    </row>
    <row r="1638" spans="1:7" ht="18" customHeight="1">
      <c r="A1638" s="548"/>
      <c r="B1638" s="563"/>
      <c r="C1638" s="2049" t="s">
        <v>693</v>
      </c>
      <c r="D1638" s="2050" t="s">
        <v>491</v>
      </c>
      <c r="E1638" s="2009">
        <v>351</v>
      </c>
      <c r="F1638" s="2009">
        <v>550</v>
      </c>
      <c r="G1638" s="2010">
        <f t="shared" si="289"/>
        <v>1.566951566951567</v>
      </c>
    </row>
    <row r="1639" spans="1:7" ht="18" hidden="1" customHeight="1">
      <c r="A1639" s="548"/>
      <c r="B1639" s="563"/>
      <c r="C1639" s="2049" t="s">
        <v>843</v>
      </c>
      <c r="D1639" s="2050" t="s">
        <v>493</v>
      </c>
      <c r="E1639" s="2009"/>
      <c r="F1639" s="2009"/>
      <c r="G1639" s="2010" t="e">
        <f t="shared" si="289"/>
        <v>#DIV/0!</v>
      </c>
    </row>
    <row r="1640" spans="1:7" ht="18" hidden="1" customHeight="1">
      <c r="A1640" s="548"/>
      <c r="B1640" s="563"/>
      <c r="C1640" s="2049" t="s">
        <v>556</v>
      </c>
      <c r="D1640" s="2050" t="s">
        <v>493</v>
      </c>
      <c r="E1640" s="2009"/>
      <c r="F1640" s="2009"/>
      <c r="G1640" s="2010" t="e">
        <f t="shared" si="289"/>
        <v>#DIV/0!</v>
      </c>
    </row>
    <row r="1641" spans="1:7" ht="18" customHeight="1">
      <c r="A1641" s="548"/>
      <c r="B1641" s="563"/>
      <c r="C1641" s="2049" t="s">
        <v>844</v>
      </c>
      <c r="D1641" s="2050" t="s">
        <v>495</v>
      </c>
      <c r="E1641" s="2009">
        <v>1517</v>
      </c>
      <c r="F1641" s="2009">
        <v>1517</v>
      </c>
      <c r="G1641" s="2010">
        <f t="shared" si="289"/>
        <v>1</v>
      </c>
    </row>
    <row r="1642" spans="1:7" ht="18" customHeight="1">
      <c r="A1642" s="548"/>
      <c r="B1642" s="563"/>
      <c r="C1642" s="2049" t="s">
        <v>695</v>
      </c>
      <c r="D1642" s="2050" t="s">
        <v>495</v>
      </c>
      <c r="E1642" s="2009">
        <v>283</v>
      </c>
      <c r="F1642" s="2009">
        <v>283</v>
      </c>
      <c r="G1642" s="2010">
        <f t="shared" si="289"/>
        <v>1</v>
      </c>
    </row>
    <row r="1643" spans="1:7" ht="18" customHeight="1">
      <c r="A1643" s="548"/>
      <c r="B1643" s="563"/>
      <c r="C1643" s="2049" t="s">
        <v>601</v>
      </c>
      <c r="D1643" s="2050" t="s">
        <v>497</v>
      </c>
      <c r="E1643" s="2009">
        <v>757075</v>
      </c>
      <c r="F1643" s="2009">
        <v>752220</v>
      </c>
      <c r="G1643" s="2010">
        <f t="shared" si="289"/>
        <v>0.99358716111349599</v>
      </c>
    </row>
    <row r="1644" spans="1:7" ht="18" customHeight="1">
      <c r="A1644" s="548"/>
      <c r="B1644" s="563"/>
      <c r="C1644" s="2049" t="s">
        <v>557</v>
      </c>
      <c r="D1644" s="2050" t="s">
        <v>497</v>
      </c>
      <c r="E1644" s="2009">
        <v>12201</v>
      </c>
      <c r="F1644" s="2009">
        <v>3910</v>
      </c>
      <c r="G1644" s="2010">
        <f t="shared" si="289"/>
        <v>0.32046553561183511</v>
      </c>
    </row>
    <row r="1645" spans="1:7" ht="18" customHeight="1">
      <c r="A1645" s="548"/>
      <c r="B1645" s="563"/>
      <c r="C1645" s="2049" t="s">
        <v>558</v>
      </c>
      <c r="D1645" s="2050" t="s">
        <v>497</v>
      </c>
      <c r="E1645" s="2009">
        <v>76051</v>
      </c>
      <c r="F1645" s="2009">
        <v>77582</v>
      </c>
      <c r="G1645" s="2010">
        <f t="shared" ref="G1645:G1712" si="295">F1645/E1645</f>
        <v>1.0201312277287609</v>
      </c>
    </row>
    <row r="1646" spans="1:7" ht="18" customHeight="1">
      <c r="A1646" s="548"/>
      <c r="B1646" s="563"/>
      <c r="C1646" s="2043" t="s">
        <v>790</v>
      </c>
      <c r="D1646" s="2044" t="s">
        <v>499</v>
      </c>
      <c r="E1646" s="2009">
        <v>3371</v>
      </c>
      <c r="F1646" s="2009">
        <v>2528</v>
      </c>
      <c r="G1646" s="2010">
        <f t="shared" si="295"/>
        <v>0.74992583803025803</v>
      </c>
    </row>
    <row r="1647" spans="1:7" ht="18" customHeight="1">
      <c r="A1647" s="548"/>
      <c r="B1647" s="563"/>
      <c r="C1647" s="2043" t="s">
        <v>719</v>
      </c>
      <c r="D1647" s="2044" t="s">
        <v>499</v>
      </c>
      <c r="E1647" s="2009">
        <v>629</v>
      </c>
      <c r="F1647" s="2009">
        <v>472</v>
      </c>
      <c r="G1647" s="2010">
        <f t="shared" si="295"/>
        <v>0.75039745627980925</v>
      </c>
    </row>
    <row r="1648" spans="1:7" ht="18" hidden="1" customHeight="1">
      <c r="A1648" s="548"/>
      <c r="B1648" s="563"/>
      <c r="C1648" s="2043" t="s">
        <v>675</v>
      </c>
      <c r="D1648" s="2044" t="s">
        <v>649</v>
      </c>
      <c r="E1648" s="2009">
        <v>412</v>
      </c>
      <c r="F1648" s="2009">
        <v>0</v>
      </c>
      <c r="G1648" s="2010">
        <f t="shared" si="295"/>
        <v>0</v>
      </c>
    </row>
    <row r="1649" spans="1:7" ht="18" hidden="1" customHeight="1">
      <c r="A1649" s="548"/>
      <c r="B1649" s="563"/>
      <c r="C1649" s="2043" t="s">
        <v>648</v>
      </c>
      <c r="D1649" s="2087" t="s">
        <v>649</v>
      </c>
      <c r="E1649" s="2009">
        <v>73</v>
      </c>
      <c r="F1649" s="2009">
        <v>0</v>
      </c>
      <c r="G1649" s="2010">
        <f t="shared" si="295"/>
        <v>0</v>
      </c>
    </row>
    <row r="1650" spans="1:7" ht="18" customHeight="1">
      <c r="A1650" s="548"/>
      <c r="B1650" s="563"/>
      <c r="C1650" s="2043" t="s">
        <v>676</v>
      </c>
      <c r="D1650" s="2088" t="s">
        <v>501</v>
      </c>
      <c r="E1650" s="2009">
        <v>98824</v>
      </c>
      <c r="F1650" s="2009">
        <v>28824</v>
      </c>
      <c r="G1650" s="2010">
        <f t="shared" si="295"/>
        <v>0.29167003966647775</v>
      </c>
    </row>
    <row r="1651" spans="1:7" ht="18" customHeight="1">
      <c r="A1651" s="548"/>
      <c r="B1651" s="563"/>
      <c r="C1651" s="2043" t="s">
        <v>560</v>
      </c>
      <c r="D1651" s="2088" t="s">
        <v>501</v>
      </c>
      <c r="E1651" s="2009">
        <v>5376</v>
      </c>
      <c r="F1651" s="2009">
        <v>5376</v>
      </c>
      <c r="G1651" s="2010">
        <f t="shared" si="295"/>
        <v>1</v>
      </c>
    </row>
    <row r="1652" spans="1:7" ht="24.75" hidden="1" customHeight="1">
      <c r="A1652" s="548"/>
      <c r="B1652" s="563"/>
      <c r="C1652" s="2043" t="s">
        <v>845</v>
      </c>
      <c r="D1652" s="1642" t="s">
        <v>503</v>
      </c>
      <c r="E1652" s="2009"/>
      <c r="F1652" s="2009"/>
      <c r="G1652" s="2010" t="e">
        <f t="shared" si="295"/>
        <v>#DIV/0!</v>
      </c>
    </row>
    <row r="1653" spans="1:7" ht="24.75" hidden="1" customHeight="1">
      <c r="A1653" s="548"/>
      <c r="B1653" s="563"/>
      <c r="C1653" s="2043" t="s">
        <v>699</v>
      </c>
      <c r="D1653" s="1642" t="s">
        <v>503</v>
      </c>
      <c r="E1653" s="2009"/>
      <c r="F1653" s="2009"/>
      <c r="G1653" s="2010" t="e">
        <f t="shared" si="295"/>
        <v>#DIV/0!</v>
      </c>
    </row>
    <row r="1654" spans="1:7" ht="18" customHeight="1">
      <c r="A1654" s="548"/>
      <c r="B1654" s="563"/>
      <c r="C1654" s="2043" t="s">
        <v>602</v>
      </c>
      <c r="D1654" s="1669" t="s">
        <v>505</v>
      </c>
      <c r="E1654" s="2009">
        <v>23000</v>
      </c>
      <c r="F1654" s="2009">
        <v>13393</v>
      </c>
      <c r="G1654" s="2010">
        <f t="shared" si="295"/>
        <v>0.58230434782608698</v>
      </c>
    </row>
    <row r="1655" spans="1:7" ht="18" hidden="1" customHeight="1">
      <c r="A1655" s="548"/>
      <c r="B1655" s="563"/>
      <c r="C1655" s="2049" t="s">
        <v>561</v>
      </c>
      <c r="D1655" s="1669" t="s">
        <v>505</v>
      </c>
      <c r="E1655" s="2009">
        <v>757</v>
      </c>
      <c r="F1655" s="2009">
        <v>0</v>
      </c>
      <c r="G1655" s="2010">
        <f t="shared" si="295"/>
        <v>0</v>
      </c>
    </row>
    <row r="1656" spans="1:7" ht="18" customHeight="1">
      <c r="A1656" s="548"/>
      <c r="B1656" s="563"/>
      <c r="C1656" s="2049" t="s">
        <v>562</v>
      </c>
      <c r="D1656" s="1669" t="s">
        <v>505</v>
      </c>
      <c r="E1656" s="2009">
        <v>3812</v>
      </c>
      <c r="F1656" s="2009">
        <v>2075</v>
      </c>
      <c r="G1656" s="2010">
        <f t="shared" si="295"/>
        <v>0.54433368310598107</v>
      </c>
    </row>
    <row r="1657" spans="1:7" ht="18" customHeight="1">
      <c r="A1657" s="548"/>
      <c r="B1657" s="563"/>
      <c r="C1657" s="2049" t="s">
        <v>650</v>
      </c>
      <c r="D1657" s="1669" t="s">
        <v>631</v>
      </c>
      <c r="E1657" s="2009">
        <v>11050</v>
      </c>
      <c r="F1657" s="2009">
        <v>8555</v>
      </c>
      <c r="G1657" s="2010">
        <f t="shared" si="295"/>
        <v>0.77420814479638012</v>
      </c>
    </row>
    <row r="1658" spans="1:7" ht="18" customHeight="1">
      <c r="A1658" s="548"/>
      <c r="B1658" s="563"/>
      <c r="C1658" s="2049" t="s">
        <v>651</v>
      </c>
      <c r="D1658" s="1669" t="s">
        <v>631</v>
      </c>
      <c r="E1658" s="2009">
        <v>1950</v>
      </c>
      <c r="F1658" s="2009">
        <v>1510</v>
      </c>
      <c r="G1658" s="2010">
        <f t="shared" si="295"/>
        <v>0.77435897435897438</v>
      </c>
    </row>
    <row r="1659" spans="1:7" ht="18" customHeight="1">
      <c r="A1659" s="548"/>
      <c r="B1659" s="563"/>
      <c r="C1659" s="2056" t="s">
        <v>846</v>
      </c>
      <c r="D1659" s="1686" t="s">
        <v>509</v>
      </c>
      <c r="E1659" s="2009">
        <v>6108</v>
      </c>
      <c r="F1659" s="2009">
        <v>5529</v>
      </c>
      <c r="G1659" s="2010">
        <f t="shared" si="295"/>
        <v>0.90520628683693516</v>
      </c>
    </row>
    <row r="1660" spans="1:7" ht="18" customHeight="1">
      <c r="A1660" s="548"/>
      <c r="B1660" s="563"/>
      <c r="C1660" s="626" t="s">
        <v>847</v>
      </c>
      <c r="D1660" s="1686" t="s">
        <v>509</v>
      </c>
      <c r="E1660" s="2009">
        <v>1139</v>
      </c>
      <c r="F1660" s="2009">
        <v>1031</v>
      </c>
      <c r="G1660" s="2010">
        <f t="shared" si="295"/>
        <v>0.9051799824407375</v>
      </c>
    </row>
    <row r="1661" spans="1:7" ht="18" customHeight="1">
      <c r="A1661" s="548"/>
      <c r="B1661" s="563"/>
      <c r="C1661" s="626" t="s">
        <v>848</v>
      </c>
      <c r="D1661" s="1686" t="s">
        <v>511</v>
      </c>
      <c r="E1661" s="2009">
        <v>843</v>
      </c>
      <c r="F1661" s="2009">
        <v>843</v>
      </c>
      <c r="G1661" s="2010">
        <f t="shared" si="295"/>
        <v>1</v>
      </c>
    </row>
    <row r="1662" spans="1:7" ht="18" customHeight="1">
      <c r="A1662" s="548"/>
      <c r="B1662" s="563"/>
      <c r="C1662" s="626" t="s">
        <v>849</v>
      </c>
      <c r="D1662" s="1686" t="s">
        <v>511</v>
      </c>
      <c r="E1662" s="2009">
        <v>157</v>
      </c>
      <c r="F1662" s="2009">
        <v>157</v>
      </c>
      <c r="G1662" s="2010">
        <f t="shared" si="295"/>
        <v>1</v>
      </c>
    </row>
    <row r="1663" spans="1:7" ht="18" customHeight="1">
      <c r="A1663" s="548"/>
      <c r="B1663" s="563"/>
      <c r="C1663" s="626" t="s">
        <v>850</v>
      </c>
      <c r="D1663" s="1686" t="s">
        <v>515</v>
      </c>
      <c r="E1663" s="2009">
        <v>843</v>
      </c>
      <c r="F1663" s="2009">
        <v>843</v>
      </c>
      <c r="G1663" s="2010">
        <f t="shared" si="295"/>
        <v>1</v>
      </c>
    </row>
    <row r="1664" spans="1:7" ht="18" customHeight="1">
      <c r="A1664" s="548"/>
      <c r="B1664" s="563"/>
      <c r="C1664" s="626" t="s">
        <v>701</v>
      </c>
      <c r="D1664" s="1686" t="s">
        <v>515</v>
      </c>
      <c r="E1664" s="2009">
        <v>157</v>
      </c>
      <c r="F1664" s="2009">
        <v>157</v>
      </c>
      <c r="G1664" s="1497">
        <f t="shared" si="295"/>
        <v>1</v>
      </c>
    </row>
    <row r="1665" spans="1:7" ht="43.5" hidden="1" customHeight="1">
      <c r="A1665" s="548"/>
      <c r="B1665" s="563"/>
      <c r="C1665" s="2089" t="s">
        <v>589</v>
      </c>
      <c r="D1665" s="2090" t="s">
        <v>590</v>
      </c>
      <c r="E1665" s="2009">
        <v>384</v>
      </c>
      <c r="F1665" s="2009">
        <v>0</v>
      </c>
      <c r="G1665" s="2010">
        <f t="shared" si="295"/>
        <v>0</v>
      </c>
    </row>
    <row r="1666" spans="1:7" ht="18" customHeight="1">
      <c r="A1666" s="548"/>
      <c r="B1666" s="563"/>
      <c r="C1666" s="2089" t="s">
        <v>603</v>
      </c>
      <c r="D1666" s="2090" t="s">
        <v>519</v>
      </c>
      <c r="E1666" s="2009">
        <v>2107</v>
      </c>
      <c r="F1666" s="2009">
        <v>1202</v>
      </c>
      <c r="G1666" s="2010">
        <f t="shared" si="295"/>
        <v>0.57047935453251064</v>
      </c>
    </row>
    <row r="1667" spans="1:7" ht="18" customHeight="1">
      <c r="A1667" s="548"/>
      <c r="B1667" s="563"/>
      <c r="C1667" s="2089" t="s">
        <v>566</v>
      </c>
      <c r="D1667" s="2090" t="s">
        <v>519</v>
      </c>
      <c r="E1667" s="2009">
        <v>393</v>
      </c>
      <c r="F1667" s="2009">
        <v>225</v>
      </c>
      <c r="G1667" s="2010">
        <f t="shared" si="295"/>
        <v>0.5725190839694656</v>
      </c>
    </row>
    <row r="1668" spans="1:7" ht="17.100000000000001" customHeight="1">
      <c r="A1668" s="548"/>
      <c r="B1668" s="563"/>
      <c r="C1668" s="553"/>
      <c r="D1668" s="553"/>
      <c r="E1668" s="550"/>
      <c r="F1668" s="550"/>
      <c r="G1668" s="1433"/>
    </row>
    <row r="1669" spans="1:7" ht="17.100000000000001" customHeight="1">
      <c r="A1669" s="548"/>
      <c r="B1669" s="563"/>
      <c r="C1669" s="2988" t="s">
        <v>523</v>
      </c>
      <c r="D1669" s="2988"/>
      <c r="E1669" s="2075">
        <f>E1670</f>
        <v>498328</v>
      </c>
      <c r="F1669" s="2075">
        <f t="shared" ref="F1669" si="296">F1670</f>
        <v>984656</v>
      </c>
      <c r="G1669" s="2076">
        <f t="shared" si="295"/>
        <v>1.9759194747234754</v>
      </c>
    </row>
    <row r="1670" spans="1:7" ht="17.100000000000001" customHeight="1">
      <c r="A1670" s="548"/>
      <c r="B1670" s="563"/>
      <c r="C1670" s="2989" t="s">
        <v>636</v>
      </c>
      <c r="D1670" s="2989"/>
      <c r="E1670" s="2015">
        <f t="shared" ref="E1670:F1670" si="297">SUM(E1671:E1674)</f>
        <v>498328</v>
      </c>
      <c r="F1670" s="2015">
        <f t="shared" si="297"/>
        <v>984656</v>
      </c>
      <c r="G1670" s="2016">
        <f t="shared" si="295"/>
        <v>1.9759194747234754</v>
      </c>
    </row>
    <row r="1671" spans="1:7" ht="51">
      <c r="A1671" s="548"/>
      <c r="B1671" s="563"/>
      <c r="C1671" s="2091" t="s">
        <v>607</v>
      </c>
      <c r="D1671" s="2050" t="s">
        <v>611</v>
      </c>
      <c r="E1671" s="2058">
        <v>283516</v>
      </c>
      <c r="F1671" s="2058">
        <v>677901</v>
      </c>
      <c r="G1671" s="2059">
        <f t="shared" si="295"/>
        <v>2.3910502405507978</v>
      </c>
    </row>
    <row r="1672" spans="1:7" ht="51.75" thickBot="1">
      <c r="A1672" s="548"/>
      <c r="B1672" s="2092"/>
      <c r="C1672" s="2093" t="s">
        <v>608</v>
      </c>
      <c r="D1672" s="2094" t="s">
        <v>609</v>
      </c>
      <c r="E1672" s="2095">
        <v>152006</v>
      </c>
      <c r="F1672" s="2095">
        <v>306755</v>
      </c>
      <c r="G1672" s="2096">
        <f t="shared" si="295"/>
        <v>2.0180453403155139</v>
      </c>
    </row>
    <row r="1673" spans="1:7" ht="52.5" hidden="1" customHeight="1">
      <c r="A1673" s="548"/>
      <c r="B1673" s="563"/>
      <c r="C1673" s="554" t="s">
        <v>722</v>
      </c>
      <c r="D1673" s="1630" t="s">
        <v>533</v>
      </c>
      <c r="E1673" s="564">
        <v>2754</v>
      </c>
      <c r="F1673" s="564">
        <v>0</v>
      </c>
      <c r="G1673" s="2010">
        <f t="shared" si="295"/>
        <v>0</v>
      </c>
    </row>
    <row r="1674" spans="1:7" ht="29.25" hidden="1" customHeight="1" thickBot="1">
      <c r="A1674" s="548"/>
      <c r="B1674" s="563"/>
      <c r="C1674" s="586" t="s">
        <v>393</v>
      </c>
      <c r="D1674" s="1541" t="s">
        <v>706</v>
      </c>
      <c r="E1674" s="552">
        <v>60052</v>
      </c>
      <c r="F1674" s="552">
        <v>0</v>
      </c>
      <c r="G1674" s="1445">
        <f t="shared" si="295"/>
        <v>0</v>
      </c>
    </row>
    <row r="1675" spans="1:7" ht="17.100000000000001" customHeight="1" thickBot="1">
      <c r="A1675" s="545" t="s">
        <v>126</v>
      </c>
      <c r="B1675" s="546"/>
      <c r="C1675" s="639"/>
      <c r="D1675" s="1897" t="s">
        <v>851</v>
      </c>
      <c r="E1675" s="1898">
        <f>E1676+E1687+E1772</f>
        <v>50181705</v>
      </c>
      <c r="F1675" s="547">
        <f t="shared" ref="F1675" si="298">F1676+F1687+F1772</f>
        <v>45733084</v>
      </c>
      <c r="G1675" s="1418">
        <f t="shared" si="295"/>
        <v>0.91134974389570855</v>
      </c>
    </row>
    <row r="1676" spans="1:7" ht="17.100000000000001" customHeight="1" thickBot="1">
      <c r="A1676" s="548"/>
      <c r="B1676" s="559" t="s">
        <v>127</v>
      </c>
      <c r="C1676" s="587"/>
      <c r="D1676" s="621" t="s">
        <v>852</v>
      </c>
      <c r="E1676" s="622">
        <f>E1677+E1684</f>
        <v>2538407</v>
      </c>
      <c r="F1676" s="622">
        <f t="shared" ref="F1676" si="299">F1677+F1684</f>
        <v>2621554</v>
      </c>
      <c r="G1676" s="608">
        <f t="shared" si="295"/>
        <v>1.0327555825366066</v>
      </c>
    </row>
    <row r="1677" spans="1:7" ht="17.100000000000001" customHeight="1">
      <c r="A1677" s="548"/>
      <c r="B1677" s="2771"/>
      <c r="C1677" s="3012" t="s">
        <v>470</v>
      </c>
      <c r="D1677" s="2952"/>
      <c r="E1677" s="1900">
        <f t="shared" ref="E1677:F1677" si="300">E1678</f>
        <v>2538407</v>
      </c>
      <c r="F1677" s="1866">
        <f t="shared" si="300"/>
        <v>2621554</v>
      </c>
      <c r="G1677" s="1867">
        <f t="shared" si="295"/>
        <v>1.0327555825366066</v>
      </c>
    </row>
    <row r="1678" spans="1:7" ht="17.100000000000001" customHeight="1">
      <c r="A1678" s="548"/>
      <c r="B1678" s="2771"/>
      <c r="C1678" s="3013" t="s">
        <v>567</v>
      </c>
      <c r="D1678" s="3014"/>
      <c r="E1678" s="2097">
        <f>SUM(E1679:E1682)</f>
        <v>2538407</v>
      </c>
      <c r="F1678" s="2097">
        <f>SUM(F1679:F1682)</f>
        <v>2621554</v>
      </c>
      <c r="G1678" s="2098">
        <f t="shared" si="295"/>
        <v>1.0327555825366066</v>
      </c>
    </row>
    <row r="1679" spans="1:7" ht="42" customHeight="1">
      <c r="A1679" s="548"/>
      <c r="B1679" s="2771"/>
      <c r="C1679" s="2055" t="s">
        <v>582</v>
      </c>
      <c r="D1679" s="2099" t="s">
        <v>583</v>
      </c>
      <c r="E1679" s="2097">
        <v>1128063</v>
      </c>
      <c r="F1679" s="2100">
        <v>1127991</v>
      </c>
      <c r="G1679" s="2098">
        <f t="shared" si="295"/>
        <v>0.99993617377752841</v>
      </c>
    </row>
    <row r="1680" spans="1:7" ht="30" customHeight="1">
      <c r="A1680" s="548"/>
      <c r="B1680" s="746"/>
      <c r="C1680" s="2055" t="s">
        <v>853</v>
      </c>
      <c r="D1680" s="2099" t="s">
        <v>854</v>
      </c>
      <c r="E1680" s="2097">
        <v>97778</v>
      </c>
      <c r="F1680" s="2100">
        <v>97778</v>
      </c>
      <c r="G1680" s="2098">
        <f t="shared" si="295"/>
        <v>1</v>
      </c>
    </row>
    <row r="1681" spans="1:7" ht="32.25" customHeight="1" thickBot="1">
      <c r="A1681" s="548"/>
      <c r="B1681" s="746"/>
      <c r="C1681" s="2101" t="s">
        <v>855</v>
      </c>
      <c r="D1681" s="2102" t="s">
        <v>856</v>
      </c>
      <c r="E1681" s="2103">
        <v>1302078</v>
      </c>
      <c r="F1681" s="2104">
        <v>1395785</v>
      </c>
      <c r="G1681" s="2105">
        <f t="shared" si="295"/>
        <v>1.0719672707779411</v>
      </c>
    </row>
    <row r="1682" spans="1:7" ht="38.25" hidden="1" customHeight="1" thickBot="1">
      <c r="A1682" s="548"/>
      <c r="B1682" s="746"/>
      <c r="C1682" s="2077" t="s">
        <v>434</v>
      </c>
      <c r="D1682" s="2106" t="s">
        <v>593</v>
      </c>
      <c r="E1682" s="2103">
        <v>10488</v>
      </c>
      <c r="F1682" s="2103">
        <v>0</v>
      </c>
      <c r="G1682" s="2107">
        <f t="shared" si="295"/>
        <v>0</v>
      </c>
    </row>
    <row r="1683" spans="1:7" ht="17.25" hidden="1" customHeight="1">
      <c r="A1683" s="548"/>
      <c r="B1683" s="746"/>
      <c r="C1683" s="2108"/>
      <c r="D1683" s="2057"/>
      <c r="E1683" s="2097"/>
      <c r="F1683" s="2097"/>
      <c r="G1683" s="2109"/>
    </row>
    <row r="1684" spans="1:7" ht="17.25" hidden="1" customHeight="1">
      <c r="A1684" s="548"/>
      <c r="B1684" s="746"/>
      <c r="C1684" s="3016" t="s">
        <v>523</v>
      </c>
      <c r="D1684" s="2956"/>
      <c r="E1684" s="1900">
        <f>E1685</f>
        <v>0</v>
      </c>
      <c r="F1684" s="549">
        <f t="shared" ref="F1684:F1685" si="301">F1685</f>
        <v>0</v>
      </c>
      <c r="G1684" s="1424" t="e">
        <f t="shared" si="295"/>
        <v>#DIV/0!</v>
      </c>
    </row>
    <row r="1685" spans="1:7" ht="18" hidden="1" customHeight="1">
      <c r="A1685" s="548"/>
      <c r="B1685" s="746"/>
      <c r="C1685" s="3017" t="s">
        <v>636</v>
      </c>
      <c r="D1685" s="3018"/>
      <c r="E1685" s="2103">
        <f>E1686</f>
        <v>0</v>
      </c>
      <c r="F1685" s="2103">
        <f t="shared" si="301"/>
        <v>0</v>
      </c>
      <c r="G1685" s="2107" t="e">
        <f t="shared" si="295"/>
        <v>#DIV/0!</v>
      </c>
    </row>
    <row r="1686" spans="1:7" ht="51.75" hidden="1" customHeight="1" thickBot="1">
      <c r="A1686" s="548"/>
      <c r="B1686" s="746"/>
      <c r="C1686" s="2110" t="s">
        <v>857</v>
      </c>
      <c r="D1686" s="2111" t="s">
        <v>858</v>
      </c>
      <c r="E1686" s="2112">
        <v>0</v>
      </c>
      <c r="F1686" s="2058">
        <v>0</v>
      </c>
      <c r="G1686" s="2059" t="e">
        <f t="shared" si="295"/>
        <v>#DIV/0!</v>
      </c>
    </row>
    <row r="1687" spans="1:7" ht="17.100000000000001" customHeight="1" thickBot="1">
      <c r="A1687" s="548"/>
      <c r="B1687" s="559" t="s">
        <v>859</v>
      </c>
      <c r="C1687" s="560"/>
      <c r="D1687" s="561" t="s">
        <v>860</v>
      </c>
      <c r="E1687" s="562">
        <f>E1688+E1762</f>
        <v>31222621</v>
      </c>
      <c r="F1687" s="562">
        <f t="shared" ref="F1687" si="302">F1688+F1762</f>
        <v>31282751</v>
      </c>
      <c r="G1687" s="1478">
        <f t="shared" si="295"/>
        <v>1.0019258472887334</v>
      </c>
    </row>
    <row r="1688" spans="1:7" ht="17.100000000000001" customHeight="1">
      <c r="A1688" s="548"/>
      <c r="B1688" s="746"/>
      <c r="C1688" s="2853" t="s">
        <v>470</v>
      </c>
      <c r="D1688" s="2853"/>
      <c r="E1688" s="607">
        <f t="shared" ref="E1688:F1688" si="303">E1689+E1718+E1722</f>
        <v>30739621</v>
      </c>
      <c r="F1688" s="607">
        <f t="shared" si="303"/>
        <v>31107751</v>
      </c>
      <c r="G1688" s="1424">
        <f t="shared" si="295"/>
        <v>1.0119757494732937</v>
      </c>
    </row>
    <row r="1689" spans="1:7" ht="17.100000000000001" customHeight="1">
      <c r="A1689" s="548"/>
      <c r="B1689" s="746"/>
      <c r="C1689" s="3019" t="s">
        <v>471</v>
      </c>
      <c r="D1689" s="3019"/>
      <c r="E1689" s="2113">
        <f t="shared" ref="E1689:F1689" si="304">E1690+E1697</f>
        <v>10109469</v>
      </c>
      <c r="F1689" s="2113">
        <f t="shared" si="304"/>
        <v>10108845</v>
      </c>
      <c r="G1689" s="2016">
        <f t="shared" si="295"/>
        <v>0.99993827568985072</v>
      </c>
    </row>
    <row r="1690" spans="1:7" ht="17.100000000000001" customHeight="1">
      <c r="A1690" s="548"/>
      <c r="B1690" s="746"/>
      <c r="C1690" s="3020" t="s">
        <v>472</v>
      </c>
      <c r="D1690" s="3020"/>
      <c r="E1690" s="2114">
        <f t="shared" ref="E1690:F1690" si="305">SUM(E1691:E1695)</f>
        <v>8018652</v>
      </c>
      <c r="F1690" s="2114">
        <f t="shared" si="305"/>
        <v>8051129</v>
      </c>
      <c r="G1690" s="2012">
        <f t="shared" si="295"/>
        <v>1.0040501820006655</v>
      </c>
    </row>
    <row r="1691" spans="1:7" ht="17.100000000000001" customHeight="1">
      <c r="A1691" s="548"/>
      <c r="B1691" s="746"/>
      <c r="C1691" s="1668" t="s">
        <v>473</v>
      </c>
      <c r="D1691" s="1669" t="s">
        <v>474</v>
      </c>
      <c r="E1691" s="602">
        <v>6297980</v>
      </c>
      <c r="F1691" s="602">
        <v>6312689</v>
      </c>
      <c r="G1691" s="1497">
        <f t="shared" si="295"/>
        <v>1.0023355107510663</v>
      </c>
    </row>
    <row r="1692" spans="1:7" ht="17.100000000000001" customHeight="1">
      <c r="A1692" s="548"/>
      <c r="B1692" s="746"/>
      <c r="C1692" s="2049" t="s">
        <v>475</v>
      </c>
      <c r="D1692" s="2050" t="s">
        <v>476</v>
      </c>
      <c r="E1692" s="602">
        <v>428637</v>
      </c>
      <c r="F1692" s="602">
        <v>458327</v>
      </c>
      <c r="G1692" s="1497">
        <f t="shared" si="295"/>
        <v>1.0692660689581162</v>
      </c>
    </row>
    <row r="1693" spans="1:7" ht="17.100000000000001" customHeight="1">
      <c r="A1693" s="548"/>
      <c r="B1693" s="746"/>
      <c r="C1693" s="2049" t="s">
        <v>477</v>
      </c>
      <c r="D1693" s="2050" t="s">
        <v>478</v>
      </c>
      <c r="E1693" s="602">
        <v>1117523</v>
      </c>
      <c r="F1693" s="602">
        <v>1118310</v>
      </c>
      <c r="G1693" s="1497">
        <f t="shared" si="295"/>
        <v>1.0007042360649401</v>
      </c>
    </row>
    <row r="1694" spans="1:7" ht="27.75" customHeight="1">
      <c r="A1694" s="548"/>
      <c r="B1694" s="746"/>
      <c r="C1694" s="2049" t="s">
        <v>479</v>
      </c>
      <c r="D1694" s="2050" t="s">
        <v>1028</v>
      </c>
      <c r="E1694" s="602">
        <v>159272</v>
      </c>
      <c r="F1694" s="602">
        <v>150183</v>
      </c>
      <c r="G1694" s="1497">
        <f t="shared" si="295"/>
        <v>0.94293410015570844</v>
      </c>
    </row>
    <row r="1695" spans="1:7" ht="17.100000000000001" customHeight="1">
      <c r="A1695" s="548"/>
      <c r="B1695" s="746"/>
      <c r="C1695" s="2049" t="s">
        <v>481</v>
      </c>
      <c r="D1695" s="2050" t="s">
        <v>482</v>
      </c>
      <c r="E1695" s="602">
        <v>15240</v>
      </c>
      <c r="F1695" s="602">
        <v>11620</v>
      </c>
      <c r="G1695" s="1497">
        <f t="shared" si="295"/>
        <v>0.76246719160104992</v>
      </c>
    </row>
    <row r="1696" spans="1:7" ht="17.100000000000001" customHeight="1">
      <c r="A1696" s="548"/>
      <c r="B1696" s="746"/>
      <c r="C1696" s="553"/>
      <c r="D1696" s="553"/>
      <c r="E1696" s="550"/>
      <c r="F1696" s="550"/>
      <c r="G1696" s="1433"/>
    </row>
    <row r="1697" spans="1:7" ht="17.100000000000001" customHeight="1">
      <c r="A1697" s="548"/>
      <c r="B1697" s="746"/>
      <c r="C1697" s="3021" t="s">
        <v>483</v>
      </c>
      <c r="D1697" s="3021"/>
      <c r="E1697" s="2114">
        <f t="shared" ref="E1697:F1697" si="306">SUM(E1698:E1716)</f>
        <v>2090817</v>
      </c>
      <c r="F1697" s="2114">
        <f t="shared" si="306"/>
        <v>2057716</v>
      </c>
      <c r="G1697" s="2012">
        <f t="shared" si="295"/>
        <v>0.98416838967733666</v>
      </c>
    </row>
    <row r="1698" spans="1:7" ht="17.100000000000001" customHeight="1">
      <c r="A1698" s="548"/>
      <c r="B1698" s="746"/>
      <c r="C1698" s="2049" t="s">
        <v>484</v>
      </c>
      <c r="D1698" s="2050" t="s">
        <v>485</v>
      </c>
      <c r="E1698" s="2115">
        <v>6000</v>
      </c>
      <c r="F1698" s="2115">
        <v>6000</v>
      </c>
      <c r="G1698" s="2010">
        <f t="shared" si="295"/>
        <v>1</v>
      </c>
    </row>
    <row r="1699" spans="1:7" ht="17.100000000000001" customHeight="1">
      <c r="A1699" s="548"/>
      <c r="B1699" s="746"/>
      <c r="C1699" s="2049" t="s">
        <v>486</v>
      </c>
      <c r="D1699" s="2050" t="s">
        <v>487</v>
      </c>
      <c r="E1699" s="2115">
        <v>339800</v>
      </c>
      <c r="F1699" s="2115">
        <v>249030</v>
      </c>
      <c r="G1699" s="2010">
        <f t="shared" si="295"/>
        <v>0.7328722778104767</v>
      </c>
    </row>
    <row r="1700" spans="1:7" ht="17.100000000000001" customHeight="1">
      <c r="A1700" s="548"/>
      <c r="B1700" s="746"/>
      <c r="C1700" s="2049" t="s">
        <v>488</v>
      </c>
      <c r="D1700" s="2050" t="s">
        <v>489</v>
      </c>
      <c r="E1700" s="2115">
        <v>6000</v>
      </c>
      <c r="F1700" s="2115">
        <v>6000</v>
      </c>
      <c r="G1700" s="2010">
        <f t="shared" si="295"/>
        <v>1</v>
      </c>
    </row>
    <row r="1701" spans="1:7" ht="17.100000000000001" customHeight="1">
      <c r="A1701" s="548"/>
      <c r="B1701" s="746"/>
      <c r="C1701" s="2049" t="s">
        <v>490</v>
      </c>
      <c r="D1701" s="2050" t="s">
        <v>491</v>
      </c>
      <c r="E1701" s="2115">
        <v>138200</v>
      </c>
      <c r="F1701" s="2115">
        <v>155500</v>
      </c>
      <c r="G1701" s="2010">
        <f t="shared" si="295"/>
        <v>1.1251808972503619</v>
      </c>
    </row>
    <row r="1702" spans="1:7" ht="17.100000000000001" customHeight="1">
      <c r="A1702" s="548"/>
      <c r="B1702" s="746"/>
      <c r="C1702" s="2049" t="s">
        <v>492</v>
      </c>
      <c r="D1702" s="2050" t="s">
        <v>493</v>
      </c>
      <c r="E1702" s="2115">
        <v>70250</v>
      </c>
      <c r="F1702" s="2115">
        <v>68700</v>
      </c>
      <c r="G1702" s="2010">
        <f t="shared" si="295"/>
        <v>0.97793594306049825</v>
      </c>
    </row>
    <row r="1703" spans="1:7" ht="17.100000000000001" customHeight="1">
      <c r="A1703" s="548"/>
      <c r="B1703" s="746"/>
      <c r="C1703" s="2049" t="s">
        <v>494</v>
      </c>
      <c r="D1703" s="2050" t="s">
        <v>495</v>
      </c>
      <c r="E1703" s="2115">
        <v>4631</v>
      </c>
      <c r="F1703" s="2115">
        <v>7670</v>
      </c>
      <c r="G1703" s="2010">
        <f t="shared" si="295"/>
        <v>1.6562297559922263</v>
      </c>
    </row>
    <row r="1704" spans="1:7" ht="17.100000000000001" customHeight="1">
      <c r="A1704" s="548"/>
      <c r="B1704" s="746"/>
      <c r="C1704" s="2049" t="s">
        <v>496</v>
      </c>
      <c r="D1704" s="2050" t="s">
        <v>497</v>
      </c>
      <c r="E1704" s="2115">
        <v>682653</v>
      </c>
      <c r="F1704" s="2115">
        <v>672176</v>
      </c>
      <c r="G1704" s="2010">
        <f t="shared" si="295"/>
        <v>0.98465252478199028</v>
      </c>
    </row>
    <row r="1705" spans="1:7" ht="16.5" customHeight="1">
      <c r="A1705" s="548"/>
      <c r="B1705" s="746"/>
      <c r="C1705" s="2049" t="s">
        <v>498</v>
      </c>
      <c r="D1705" s="2050" t="s">
        <v>499</v>
      </c>
      <c r="E1705" s="2115">
        <v>20680</v>
      </c>
      <c r="F1705" s="2115">
        <v>24840</v>
      </c>
      <c r="G1705" s="2010">
        <f t="shared" si="295"/>
        <v>1.2011605415860735</v>
      </c>
    </row>
    <row r="1706" spans="1:7" ht="16.5" customHeight="1">
      <c r="A1706" s="548"/>
      <c r="B1706" s="746"/>
      <c r="C1706" s="2049" t="s">
        <v>686</v>
      </c>
      <c r="D1706" s="2050" t="s">
        <v>649</v>
      </c>
      <c r="E1706" s="2115">
        <v>1200</v>
      </c>
      <c r="F1706" s="2115">
        <v>500</v>
      </c>
      <c r="G1706" s="2010">
        <f t="shared" si="295"/>
        <v>0.41666666666666669</v>
      </c>
    </row>
    <row r="1707" spans="1:7" ht="16.5" customHeight="1">
      <c r="A1707" s="548"/>
      <c r="B1707" s="746"/>
      <c r="C1707" s="2049" t="s">
        <v>500</v>
      </c>
      <c r="D1707" s="2050" t="s">
        <v>501</v>
      </c>
      <c r="E1707" s="2115">
        <v>5000</v>
      </c>
      <c r="F1707" s="2115">
        <v>5500</v>
      </c>
      <c r="G1707" s="2010">
        <f t="shared" si="295"/>
        <v>1.1000000000000001</v>
      </c>
    </row>
    <row r="1708" spans="1:7" ht="26.25" customHeight="1">
      <c r="A1708" s="548"/>
      <c r="B1708" s="746"/>
      <c r="C1708" s="2043" t="s">
        <v>502</v>
      </c>
      <c r="D1708" s="2044" t="s">
        <v>503</v>
      </c>
      <c r="E1708" s="2115">
        <v>162000</v>
      </c>
      <c r="F1708" s="2115">
        <v>182000</v>
      </c>
      <c r="G1708" s="2010">
        <f t="shared" si="295"/>
        <v>1.1234567901234569</v>
      </c>
    </row>
    <row r="1709" spans="1:7" ht="17.100000000000001" customHeight="1">
      <c r="A1709" s="548"/>
      <c r="B1709" s="746"/>
      <c r="C1709" s="2116" t="s">
        <v>504</v>
      </c>
      <c r="D1709" s="2117" t="s">
        <v>505</v>
      </c>
      <c r="E1709" s="2115">
        <v>42000</v>
      </c>
      <c r="F1709" s="2115">
        <v>38500</v>
      </c>
      <c r="G1709" s="2010">
        <f t="shared" si="295"/>
        <v>0.91666666666666663</v>
      </c>
    </row>
    <row r="1710" spans="1:7" ht="17.100000000000001" customHeight="1">
      <c r="A1710" s="548"/>
      <c r="B1710" s="746"/>
      <c r="C1710" s="1668" t="s">
        <v>630</v>
      </c>
      <c r="D1710" s="1669" t="s">
        <v>631</v>
      </c>
      <c r="E1710" s="2115">
        <v>2000</v>
      </c>
      <c r="F1710" s="2115">
        <v>1000</v>
      </c>
      <c r="G1710" s="2010">
        <f t="shared" si="295"/>
        <v>0.5</v>
      </c>
    </row>
    <row r="1711" spans="1:7" ht="17.100000000000001" customHeight="1">
      <c r="A1711" s="548"/>
      <c r="B1711" s="746"/>
      <c r="C1711" s="2049" t="s">
        <v>506</v>
      </c>
      <c r="D1711" s="2050" t="s">
        <v>507</v>
      </c>
      <c r="E1711" s="2115">
        <v>18100</v>
      </c>
      <c r="F1711" s="2115">
        <v>22600</v>
      </c>
      <c r="G1711" s="2010">
        <f t="shared" si="295"/>
        <v>1.2486187845303867</v>
      </c>
    </row>
    <row r="1712" spans="1:7" ht="17.100000000000001" customHeight="1">
      <c r="A1712" s="548"/>
      <c r="B1712" s="746"/>
      <c r="C1712" s="2049" t="s">
        <v>508</v>
      </c>
      <c r="D1712" s="2050" t="s">
        <v>509</v>
      </c>
      <c r="E1712" s="2115">
        <v>404233</v>
      </c>
      <c r="F1712" s="2115">
        <v>439000</v>
      </c>
      <c r="G1712" s="2010">
        <f t="shared" si="295"/>
        <v>1.0860073274571844</v>
      </c>
    </row>
    <row r="1713" spans="1:7" ht="17.100000000000001" customHeight="1">
      <c r="A1713" s="548"/>
      <c r="B1713" s="746"/>
      <c r="C1713" s="2049" t="s">
        <v>510</v>
      </c>
      <c r="D1713" s="2050" t="s">
        <v>511</v>
      </c>
      <c r="E1713" s="2115">
        <v>25000</v>
      </c>
      <c r="F1713" s="2115">
        <v>26000</v>
      </c>
      <c r="G1713" s="2010">
        <f t="shared" ref="G1713:G1776" si="307">F1713/E1713</f>
        <v>1.04</v>
      </c>
    </row>
    <row r="1714" spans="1:7" ht="17.100000000000001" customHeight="1">
      <c r="A1714" s="548"/>
      <c r="B1714" s="746"/>
      <c r="C1714" s="2049" t="s">
        <v>514</v>
      </c>
      <c r="D1714" s="2050" t="s">
        <v>515</v>
      </c>
      <c r="E1714" s="2115">
        <v>88840</v>
      </c>
      <c r="F1714" s="2115">
        <v>90200</v>
      </c>
      <c r="G1714" s="2010">
        <f t="shared" si="307"/>
        <v>1.0153084196307969</v>
      </c>
    </row>
    <row r="1715" spans="1:7" ht="17.100000000000001" customHeight="1">
      <c r="A1715" s="548"/>
      <c r="B1715" s="746"/>
      <c r="C1715" s="2049" t="s">
        <v>580</v>
      </c>
      <c r="D1715" s="2050" t="s">
        <v>581</v>
      </c>
      <c r="E1715" s="2115">
        <v>5500</v>
      </c>
      <c r="F1715" s="2115">
        <v>3500</v>
      </c>
      <c r="G1715" s="2010">
        <f t="shared" si="307"/>
        <v>0.63636363636363635</v>
      </c>
    </row>
    <row r="1716" spans="1:7" ht="17.100000000000001" customHeight="1">
      <c r="A1716" s="548"/>
      <c r="B1716" s="746"/>
      <c r="C1716" s="2049" t="s">
        <v>518</v>
      </c>
      <c r="D1716" s="2050" t="s">
        <v>519</v>
      </c>
      <c r="E1716" s="2115">
        <v>68730</v>
      </c>
      <c r="F1716" s="2115">
        <v>59000</v>
      </c>
      <c r="G1716" s="2010">
        <f t="shared" si="307"/>
        <v>0.85843154372180996</v>
      </c>
    </row>
    <row r="1717" spans="1:7" ht="17.100000000000001" customHeight="1">
      <c r="A1717" s="548"/>
      <c r="B1717" s="746"/>
      <c r="C1717" s="640"/>
      <c r="D1717" s="640"/>
      <c r="E1717" s="641"/>
      <c r="F1717" s="641"/>
      <c r="G1717" s="1438"/>
    </row>
    <row r="1718" spans="1:7" ht="17.100000000000001" customHeight="1">
      <c r="A1718" s="548"/>
      <c r="B1718" s="746"/>
      <c r="C1718" s="3026" t="s">
        <v>520</v>
      </c>
      <c r="D1718" s="3026"/>
      <c r="E1718" s="2115">
        <f t="shared" ref="E1718:F1718" si="308">E1719+E1720</f>
        <v>19390</v>
      </c>
      <c r="F1718" s="2115">
        <f t="shared" si="308"/>
        <v>15330</v>
      </c>
      <c r="G1718" s="2010">
        <f t="shared" si="307"/>
        <v>0.79061371841155237</v>
      </c>
    </row>
    <row r="1719" spans="1:7" ht="17.100000000000001" customHeight="1">
      <c r="A1719" s="548"/>
      <c r="B1719" s="746"/>
      <c r="C1719" s="2043" t="s">
        <v>521</v>
      </c>
      <c r="D1719" s="2044" t="s">
        <v>522</v>
      </c>
      <c r="E1719" s="2113">
        <v>19130</v>
      </c>
      <c r="F1719" s="2113">
        <v>15200</v>
      </c>
      <c r="G1719" s="2016">
        <f t="shared" si="307"/>
        <v>0.79456351280710924</v>
      </c>
    </row>
    <row r="1720" spans="1:7" ht="17.100000000000001" customHeight="1">
      <c r="A1720" s="548"/>
      <c r="B1720" s="746"/>
      <c r="C1720" s="2118" t="s">
        <v>682</v>
      </c>
      <c r="D1720" s="2119" t="s">
        <v>690</v>
      </c>
      <c r="E1720" s="2115">
        <v>260</v>
      </c>
      <c r="F1720" s="2115">
        <v>130</v>
      </c>
      <c r="G1720" s="2010">
        <f t="shared" si="307"/>
        <v>0.5</v>
      </c>
    </row>
    <row r="1721" spans="1:7" ht="17.100000000000001" customHeight="1">
      <c r="A1721" s="548"/>
      <c r="B1721" s="746"/>
      <c r="C1721" s="640"/>
      <c r="D1721" s="640"/>
      <c r="E1721" s="641"/>
      <c r="F1721" s="641"/>
      <c r="G1721" s="1438"/>
    </row>
    <row r="1722" spans="1:7" ht="17.100000000000001" customHeight="1">
      <c r="A1722" s="548"/>
      <c r="B1722" s="746"/>
      <c r="C1722" s="3022" t="s">
        <v>536</v>
      </c>
      <c r="D1722" s="3022"/>
      <c r="E1722" s="2115">
        <f>SUM(E1723:E1760)</f>
        <v>20610762</v>
      </c>
      <c r="F1722" s="2115">
        <f t="shared" ref="F1722" si="309">SUM(F1723:F1760)</f>
        <v>20983576</v>
      </c>
      <c r="G1722" s="2010">
        <f t="shared" si="307"/>
        <v>1.0180883171616848</v>
      </c>
    </row>
    <row r="1723" spans="1:7" ht="16.5" customHeight="1">
      <c r="A1723" s="548"/>
      <c r="B1723" s="746"/>
      <c r="C1723" s="2049" t="s">
        <v>687</v>
      </c>
      <c r="D1723" s="2044" t="s">
        <v>522</v>
      </c>
      <c r="E1723" s="2115">
        <f>5057+10200</f>
        <v>15257</v>
      </c>
      <c r="F1723" s="2115">
        <f>5057+10200</f>
        <v>15257</v>
      </c>
      <c r="G1723" s="2010">
        <f t="shared" si="307"/>
        <v>1</v>
      </c>
    </row>
    <row r="1724" spans="1:7" ht="16.5" customHeight="1">
      <c r="A1724" s="548"/>
      <c r="B1724" s="746"/>
      <c r="C1724" s="2049" t="s">
        <v>688</v>
      </c>
      <c r="D1724" s="2044" t="s">
        <v>522</v>
      </c>
      <c r="E1724" s="2115">
        <f>943+1800</f>
        <v>2743</v>
      </c>
      <c r="F1724" s="2115">
        <f>943+1800</f>
        <v>2743</v>
      </c>
      <c r="G1724" s="2010">
        <f t="shared" si="307"/>
        <v>1</v>
      </c>
    </row>
    <row r="1725" spans="1:7" ht="17.100000000000001" customHeight="1">
      <c r="A1725" s="548"/>
      <c r="B1725" s="746"/>
      <c r="C1725" s="2118" t="s">
        <v>540</v>
      </c>
      <c r="D1725" s="2120" t="s">
        <v>474</v>
      </c>
      <c r="E1725" s="2115">
        <f>2650628+9646925</f>
        <v>12297553</v>
      </c>
      <c r="F1725" s="2115">
        <f>2683042+9927507</f>
        <v>12610549</v>
      </c>
      <c r="G1725" s="2010">
        <f t="shared" si="307"/>
        <v>1.0254518927464675</v>
      </c>
    </row>
    <row r="1726" spans="1:7" ht="17.100000000000001" customHeight="1">
      <c r="A1726" s="548"/>
      <c r="B1726" s="746"/>
      <c r="C1726" s="1668" t="s">
        <v>541</v>
      </c>
      <c r="D1726" s="2050" t="s">
        <v>474</v>
      </c>
      <c r="E1726" s="2115">
        <f>494398+1702399</f>
        <v>2196797</v>
      </c>
      <c r="F1726" s="2115">
        <f>500444+1751913</f>
        <v>2252357</v>
      </c>
      <c r="G1726" s="2010">
        <f t="shared" si="307"/>
        <v>1.0252913673862447</v>
      </c>
    </row>
    <row r="1727" spans="1:7" ht="17.100000000000001" customHeight="1">
      <c r="A1727" s="548"/>
      <c r="B1727" s="746"/>
      <c r="C1727" s="2049" t="s">
        <v>542</v>
      </c>
      <c r="D1727" s="2050" t="s">
        <v>476</v>
      </c>
      <c r="E1727" s="2115">
        <f>182301+637690</f>
        <v>819991</v>
      </c>
      <c r="F1727" s="2115">
        <f>202029+657744</f>
        <v>859773</v>
      </c>
      <c r="G1727" s="2010">
        <f t="shared" si="307"/>
        <v>1.0485151666298775</v>
      </c>
    </row>
    <row r="1728" spans="1:7" ht="17.100000000000001" customHeight="1">
      <c r="A1728" s="548"/>
      <c r="B1728" s="746"/>
      <c r="C1728" s="2049" t="s">
        <v>543</v>
      </c>
      <c r="D1728" s="2050" t="s">
        <v>476</v>
      </c>
      <c r="E1728" s="2115">
        <f>34003+112533</f>
        <v>146536</v>
      </c>
      <c r="F1728" s="2115">
        <f>37683+116072</f>
        <v>153755</v>
      </c>
      <c r="G1728" s="2010">
        <f t="shared" si="307"/>
        <v>1.0492643445979144</v>
      </c>
    </row>
    <row r="1729" spans="1:7" ht="17.100000000000001" customHeight="1">
      <c r="A1729" s="548"/>
      <c r="B1729" s="746"/>
      <c r="C1729" s="2049" t="s">
        <v>544</v>
      </c>
      <c r="D1729" s="2050" t="s">
        <v>478</v>
      </c>
      <c r="E1729" s="2115">
        <f>486981+1767926</f>
        <v>2254907</v>
      </c>
      <c r="F1729" s="2115">
        <f>495943+1819605</f>
        <v>2315548</v>
      </c>
      <c r="G1729" s="2010">
        <f t="shared" si="307"/>
        <v>1.0268929051175946</v>
      </c>
    </row>
    <row r="1730" spans="1:7" ht="17.100000000000001" customHeight="1">
      <c r="A1730" s="548"/>
      <c r="B1730" s="746"/>
      <c r="C1730" s="2049" t="s">
        <v>545</v>
      </c>
      <c r="D1730" s="2050" t="s">
        <v>478</v>
      </c>
      <c r="E1730" s="2115">
        <f>90832+311986</f>
        <v>402818</v>
      </c>
      <c r="F1730" s="2115">
        <f>92504+321107</f>
        <v>413611</v>
      </c>
      <c r="G1730" s="2010">
        <f t="shared" si="307"/>
        <v>1.0267937381149799</v>
      </c>
    </row>
    <row r="1731" spans="1:7" ht="30" customHeight="1">
      <c r="A1731" s="548"/>
      <c r="B1731" s="746"/>
      <c r="C1731" s="2049" t="s">
        <v>546</v>
      </c>
      <c r="D1731" s="2050" t="s">
        <v>1028</v>
      </c>
      <c r="E1731" s="2115">
        <f>69407+251972</f>
        <v>321379</v>
      </c>
      <c r="F1731" s="2115">
        <f>70685+259338</f>
        <v>330023</v>
      </c>
      <c r="G1731" s="2010">
        <f t="shared" si="307"/>
        <v>1.0268965924967095</v>
      </c>
    </row>
    <row r="1732" spans="1:7" ht="27" customHeight="1">
      <c r="A1732" s="548"/>
      <c r="B1732" s="746"/>
      <c r="C1732" s="2049" t="s">
        <v>547</v>
      </c>
      <c r="D1732" s="2050" t="s">
        <v>1028</v>
      </c>
      <c r="E1732" s="2115">
        <f>12945+44466</f>
        <v>57411</v>
      </c>
      <c r="F1732" s="2115">
        <f>13184+45766</f>
        <v>58950</v>
      </c>
      <c r="G1732" s="2010">
        <f t="shared" si="307"/>
        <v>1.0268067095155982</v>
      </c>
    </row>
    <row r="1733" spans="1:7" ht="17.100000000000001" customHeight="1">
      <c r="A1733" s="548"/>
      <c r="B1733" s="746"/>
      <c r="C1733" s="2049" t="s">
        <v>548</v>
      </c>
      <c r="D1733" s="2050" t="s">
        <v>482</v>
      </c>
      <c r="E1733" s="2115">
        <f>3371+42500</f>
        <v>45871</v>
      </c>
      <c r="F1733" s="2115">
        <f>3371+26350</f>
        <v>29721</v>
      </c>
      <c r="G1733" s="2010">
        <f t="shared" si="307"/>
        <v>0.64792570469359723</v>
      </c>
    </row>
    <row r="1734" spans="1:7" ht="17.100000000000001" customHeight="1">
      <c r="A1734" s="548"/>
      <c r="B1734" s="746"/>
      <c r="C1734" s="2049" t="s">
        <v>549</v>
      </c>
      <c r="D1734" s="2050" t="s">
        <v>482</v>
      </c>
      <c r="E1734" s="2115">
        <f>629+7500</f>
        <v>8129</v>
      </c>
      <c r="F1734" s="2115">
        <f>629+4650</f>
        <v>5279</v>
      </c>
      <c r="G1734" s="2010">
        <f t="shared" si="307"/>
        <v>0.64940337064829623</v>
      </c>
    </row>
    <row r="1735" spans="1:7" ht="17.100000000000001" customHeight="1">
      <c r="A1735" s="548"/>
      <c r="B1735" s="746"/>
      <c r="C1735" s="2049" t="s">
        <v>553</v>
      </c>
      <c r="D1735" s="2050" t="s">
        <v>487</v>
      </c>
      <c r="E1735" s="2115">
        <f>94646+340425</f>
        <v>435071</v>
      </c>
      <c r="F1735" s="2115">
        <f>71217+255850</f>
        <v>327067</v>
      </c>
      <c r="G1735" s="2010">
        <f t="shared" si="307"/>
        <v>0.75175546060298204</v>
      </c>
    </row>
    <row r="1736" spans="1:7" ht="17.100000000000001" customHeight="1">
      <c r="A1736" s="548"/>
      <c r="B1736" s="746"/>
      <c r="C1736" s="2049" t="s">
        <v>554</v>
      </c>
      <c r="D1736" s="2050" t="s">
        <v>487</v>
      </c>
      <c r="E1736" s="2115">
        <f>17654+60075</f>
        <v>77729</v>
      </c>
      <c r="F1736" s="2115">
        <f>13283+45150</f>
        <v>58433</v>
      </c>
      <c r="G1736" s="2010">
        <f t="shared" si="307"/>
        <v>0.75175288502360771</v>
      </c>
    </row>
    <row r="1737" spans="1:7" ht="17.100000000000001" customHeight="1">
      <c r="A1737" s="548"/>
      <c r="B1737" s="746"/>
      <c r="C1737" s="2049" t="s">
        <v>692</v>
      </c>
      <c r="D1737" s="2050" t="s">
        <v>491</v>
      </c>
      <c r="E1737" s="2115">
        <f>58153+127500</f>
        <v>185653</v>
      </c>
      <c r="F1737" s="2115">
        <f>58490+128350</f>
        <v>186840</v>
      </c>
      <c r="G1737" s="2010">
        <f t="shared" si="307"/>
        <v>1.0063936483654992</v>
      </c>
    </row>
    <row r="1738" spans="1:7" ht="17.100000000000001" customHeight="1">
      <c r="A1738" s="548"/>
      <c r="B1738" s="746"/>
      <c r="C1738" s="2049" t="s">
        <v>693</v>
      </c>
      <c r="D1738" s="2050" t="s">
        <v>491</v>
      </c>
      <c r="E1738" s="2115">
        <f>10847+22500</f>
        <v>33347</v>
      </c>
      <c r="F1738" s="2115">
        <f>10910+22650</f>
        <v>33560</v>
      </c>
      <c r="G1738" s="2010">
        <f t="shared" si="307"/>
        <v>1.0063873811737187</v>
      </c>
    </row>
    <row r="1739" spans="1:7" ht="17.100000000000001" customHeight="1">
      <c r="A1739" s="548"/>
      <c r="B1739" s="746"/>
      <c r="C1739" s="2043" t="s">
        <v>555</v>
      </c>
      <c r="D1739" s="2044" t="s">
        <v>493</v>
      </c>
      <c r="E1739" s="2115">
        <f>8259+44965</f>
        <v>53224</v>
      </c>
      <c r="F1739" s="2115">
        <f>8681+44965</f>
        <v>53646</v>
      </c>
      <c r="G1739" s="2010">
        <f t="shared" si="307"/>
        <v>1.0079287539455886</v>
      </c>
    </row>
    <row r="1740" spans="1:7" ht="17.100000000000001" customHeight="1">
      <c r="A1740" s="548"/>
      <c r="B1740" s="746"/>
      <c r="C1740" s="2043" t="s">
        <v>556</v>
      </c>
      <c r="D1740" s="2044" t="s">
        <v>493</v>
      </c>
      <c r="E1740" s="2115">
        <f>1541+7935</f>
        <v>9476</v>
      </c>
      <c r="F1740" s="2115">
        <f>1619+7935</f>
        <v>9554</v>
      </c>
      <c r="G1740" s="2010">
        <f t="shared" si="307"/>
        <v>1.0082313212325875</v>
      </c>
    </row>
    <row r="1741" spans="1:7" ht="17.100000000000001" customHeight="1">
      <c r="A1741" s="548"/>
      <c r="B1741" s="746"/>
      <c r="C1741" s="2051" t="s">
        <v>694</v>
      </c>
      <c r="D1741" s="2052" t="s">
        <v>495</v>
      </c>
      <c r="E1741" s="2115">
        <f>2107+5457</f>
        <v>7564</v>
      </c>
      <c r="F1741" s="2115">
        <f>5310+9622</f>
        <v>14932</v>
      </c>
      <c r="G1741" s="2010">
        <f t="shared" si="307"/>
        <v>1.9740877842411422</v>
      </c>
    </row>
    <row r="1742" spans="1:7" ht="17.100000000000001" customHeight="1">
      <c r="A1742" s="548"/>
      <c r="B1742" s="746"/>
      <c r="C1742" s="2116" t="s">
        <v>695</v>
      </c>
      <c r="D1742" s="2117" t="s">
        <v>495</v>
      </c>
      <c r="E1742" s="2115">
        <f>393+963</f>
        <v>1356</v>
      </c>
      <c r="F1742" s="2115">
        <f>990+1698</f>
        <v>2688</v>
      </c>
      <c r="G1742" s="2010">
        <f t="shared" si="307"/>
        <v>1.9823008849557522</v>
      </c>
    </row>
    <row r="1743" spans="1:7" ht="17.100000000000001" customHeight="1">
      <c r="A1743" s="548"/>
      <c r="B1743" s="746"/>
      <c r="C1743" s="1668" t="s">
        <v>557</v>
      </c>
      <c r="D1743" s="1669" t="s">
        <v>497</v>
      </c>
      <c r="E1743" s="2115">
        <f>171847+388408</f>
        <v>560255</v>
      </c>
      <c r="F1743" s="2115">
        <f>169234+393771</f>
        <v>563005</v>
      </c>
      <c r="G1743" s="2010">
        <f t="shared" si="307"/>
        <v>1.0049084791746616</v>
      </c>
    </row>
    <row r="1744" spans="1:7" ht="17.100000000000001" customHeight="1">
      <c r="A1744" s="548"/>
      <c r="B1744" s="746"/>
      <c r="C1744" s="2049" t="s">
        <v>558</v>
      </c>
      <c r="D1744" s="2050" t="s">
        <v>497</v>
      </c>
      <c r="E1744" s="2115">
        <f>32053+68542</f>
        <v>100595</v>
      </c>
      <c r="F1744" s="2115">
        <f>31566+69489</f>
        <v>101055</v>
      </c>
      <c r="G1744" s="2010">
        <f t="shared" si="307"/>
        <v>1.0045727918882648</v>
      </c>
    </row>
    <row r="1745" spans="1:7" ht="16.5" customHeight="1">
      <c r="A1745" s="548"/>
      <c r="B1745" s="746"/>
      <c r="C1745" s="2049" t="s">
        <v>696</v>
      </c>
      <c r="D1745" s="2050" t="s">
        <v>499</v>
      </c>
      <c r="E1745" s="2115">
        <f>6068+19380</f>
        <v>25448</v>
      </c>
      <c r="F1745" s="2115">
        <f>7383+26180</f>
        <v>33563</v>
      </c>
      <c r="G1745" s="2010">
        <f t="shared" si="307"/>
        <v>1.3188855705752909</v>
      </c>
    </row>
    <row r="1746" spans="1:7" ht="16.5" customHeight="1">
      <c r="A1746" s="548"/>
      <c r="B1746" s="746"/>
      <c r="C1746" s="2049" t="s">
        <v>719</v>
      </c>
      <c r="D1746" s="2050" t="s">
        <v>499</v>
      </c>
      <c r="E1746" s="2115">
        <f>1132+3420</f>
        <v>4552</v>
      </c>
      <c r="F1746" s="2115">
        <f>1377+4620</f>
        <v>5997</v>
      </c>
      <c r="G1746" s="2010">
        <f t="shared" si="307"/>
        <v>1.3174428822495607</v>
      </c>
    </row>
    <row r="1747" spans="1:7" ht="16.5" customHeight="1">
      <c r="A1747" s="548"/>
      <c r="B1747" s="746"/>
      <c r="C1747" s="2049" t="s">
        <v>675</v>
      </c>
      <c r="D1747" s="2050" t="s">
        <v>649</v>
      </c>
      <c r="E1747" s="2115">
        <f>421+1020</f>
        <v>1441</v>
      </c>
      <c r="F1747" s="2115">
        <f>421+1020</f>
        <v>1441</v>
      </c>
      <c r="G1747" s="2010">
        <f t="shared" si="307"/>
        <v>1</v>
      </c>
    </row>
    <row r="1748" spans="1:7" ht="16.5" customHeight="1">
      <c r="A1748" s="548"/>
      <c r="B1748" s="746"/>
      <c r="C1748" s="2049" t="s">
        <v>648</v>
      </c>
      <c r="D1748" s="2050" t="s">
        <v>649</v>
      </c>
      <c r="E1748" s="2115">
        <f>79+180</f>
        <v>259</v>
      </c>
      <c r="F1748" s="2115">
        <f>79+180</f>
        <v>259</v>
      </c>
      <c r="G1748" s="2010">
        <f t="shared" si="307"/>
        <v>1</v>
      </c>
    </row>
    <row r="1749" spans="1:7" ht="16.5" hidden="1" customHeight="1">
      <c r="A1749" s="548"/>
      <c r="B1749" s="746"/>
      <c r="C1749" s="2049" t="s">
        <v>559</v>
      </c>
      <c r="D1749" s="2050" t="s">
        <v>501</v>
      </c>
      <c r="E1749" s="2115"/>
      <c r="F1749" s="2115"/>
      <c r="G1749" s="2010" t="e">
        <f t="shared" si="307"/>
        <v>#DIV/0!</v>
      </c>
    </row>
    <row r="1750" spans="1:7" ht="16.5" hidden="1" customHeight="1">
      <c r="A1750" s="548"/>
      <c r="B1750" s="746"/>
      <c r="C1750" s="2049" t="s">
        <v>560</v>
      </c>
      <c r="D1750" s="2050" t="s">
        <v>501</v>
      </c>
      <c r="E1750" s="2115"/>
      <c r="F1750" s="2115"/>
      <c r="G1750" s="2010" t="e">
        <f t="shared" si="307"/>
        <v>#DIV/0!</v>
      </c>
    </row>
    <row r="1751" spans="1:7" ht="24" customHeight="1">
      <c r="A1751" s="548"/>
      <c r="B1751" s="746"/>
      <c r="C1751" s="2049" t="s">
        <v>698</v>
      </c>
      <c r="D1751" s="2050" t="s">
        <v>503</v>
      </c>
      <c r="E1751" s="2115">
        <f>153053+6800</f>
        <v>159853</v>
      </c>
      <c r="F1751" s="2115">
        <f>176482+8500</f>
        <v>184982</v>
      </c>
      <c r="G1751" s="2010">
        <f t="shared" si="307"/>
        <v>1.1572006781230255</v>
      </c>
    </row>
    <row r="1752" spans="1:7" ht="24.75" customHeight="1">
      <c r="A1752" s="548"/>
      <c r="B1752" s="746"/>
      <c r="C1752" s="2049" t="s">
        <v>699</v>
      </c>
      <c r="D1752" s="2050" t="s">
        <v>503</v>
      </c>
      <c r="E1752" s="2115">
        <f>28547+1200</f>
        <v>29747</v>
      </c>
      <c r="F1752" s="2115">
        <f>32918+1500</f>
        <v>34418</v>
      </c>
      <c r="G1752" s="2010">
        <f t="shared" si="307"/>
        <v>1.1570242377382594</v>
      </c>
    </row>
    <row r="1753" spans="1:7" ht="17.100000000000001" customHeight="1">
      <c r="A1753" s="548"/>
      <c r="B1753" s="746"/>
      <c r="C1753" s="2049" t="s">
        <v>561</v>
      </c>
      <c r="D1753" s="2050" t="s">
        <v>505</v>
      </c>
      <c r="E1753" s="2115">
        <f>21070+44200</f>
        <v>65270</v>
      </c>
      <c r="F1753" s="2115">
        <f>21070+52700</f>
        <v>73770</v>
      </c>
      <c r="G1753" s="2010">
        <f t="shared" si="307"/>
        <v>1.1302282825187682</v>
      </c>
    </row>
    <row r="1754" spans="1:7" ht="17.100000000000001" customHeight="1">
      <c r="A1754" s="548"/>
      <c r="B1754" s="746"/>
      <c r="C1754" s="2049" t="s">
        <v>562</v>
      </c>
      <c r="D1754" s="2050" t="s">
        <v>505</v>
      </c>
      <c r="E1754" s="2115">
        <f>3930+7800</f>
        <v>11730</v>
      </c>
      <c r="F1754" s="2115">
        <f>3930+9300</f>
        <v>13230</v>
      </c>
      <c r="G1754" s="2010">
        <f t="shared" si="307"/>
        <v>1.1278772378516624</v>
      </c>
    </row>
    <row r="1755" spans="1:7" ht="17.100000000000001" customHeight="1">
      <c r="A1755" s="548"/>
      <c r="B1755" s="746"/>
      <c r="C1755" s="2049" t="s">
        <v>700</v>
      </c>
      <c r="D1755" s="2050" t="s">
        <v>515</v>
      </c>
      <c r="E1755" s="2115">
        <f>1938+6800</f>
        <v>8738</v>
      </c>
      <c r="F1755" s="2115">
        <f>2166+6800</f>
        <v>8966</v>
      </c>
      <c r="G1755" s="2010">
        <f t="shared" si="307"/>
        <v>1.0260929274433508</v>
      </c>
    </row>
    <row r="1756" spans="1:7" ht="17.100000000000001" customHeight="1">
      <c r="A1756" s="548"/>
      <c r="B1756" s="746"/>
      <c r="C1756" s="2049" t="s">
        <v>701</v>
      </c>
      <c r="D1756" s="2050" t="s">
        <v>515</v>
      </c>
      <c r="E1756" s="2115">
        <f>362+1200</f>
        <v>1562</v>
      </c>
      <c r="F1756" s="2115">
        <f>404+1200</f>
        <v>1604</v>
      </c>
      <c r="G1756" s="2010">
        <f t="shared" si="307"/>
        <v>1.0268886043533931</v>
      </c>
    </row>
    <row r="1757" spans="1:7" ht="17.100000000000001" customHeight="1">
      <c r="A1757" s="548"/>
      <c r="B1757" s="746"/>
      <c r="C1757" s="2049" t="s">
        <v>702</v>
      </c>
      <c r="D1757" s="2050" t="s">
        <v>581</v>
      </c>
      <c r="E1757" s="2115">
        <f>1686+5525</f>
        <v>7211</v>
      </c>
      <c r="F1757" s="2115">
        <f>1686+4250</f>
        <v>5936</v>
      </c>
      <c r="G1757" s="2010">
        <f t="shared" si="307"/>
        <v>0.8231867979475801</v>
      </c>
    </row>
    <row r="1758" spans="1:7" ht="17.100000000000001" customHeight="1">
      <c r="A1758" s="548"/>
      <c r="B1758" s="746"/>
      <c r="C1758" s="2049" t="s">
        <v>703</v>
      </c>
      <c r="D1758" s="2050" t="s">
        <v>581</v>
      </c>
      <c r="E1758" s="2115">
        <f>314+975</f>
        <v>1289</v>
      </c>
      <c r="F1758" s="2115">
        <f>314+750</f>
        <v>1064</v>
      </c>
      <c r="G1758" s="2010">
        <f t="shared" si="307"/>
        <v>0.82544608223429017</v>
      </c>
    </row>
    <row r="1759" spans="1:7" ht="17.100000000000001" customHeight="1">
      <c r="A1759" s="548"/>
      <c r="B1759" s="746"/>
      <c r="C1759" s="2049" t="s">
        <v>565</v>
      </c>
      <c r="D1759" s="2050" t="s">
        <v>519</v>
      </c>
      <c r="E1759" s="2115">
        <f>46354+174250</f>
        <v>220604</v>
      </c>
      <c r="F1759" s="2115">
        <f>46354+140250</f>
        <v>186604</v>
      </c>
      <c r="G1759" s="2010">
        <f t="shared" si="307"/>
        <v>0.84587768127504492</v>
      </c>
    </row>
    <row r="1760" spans="1:7" ht="17.100000000000001" customHeight="1">
      <c r="A1760" s="548"/>
      <c r="B1760" s="746"/>
      <c r="C1760" s="2049" t="s">
        <v>566</v>
      </c>
      <c r="D1760" s="2050" t="s">
        <v>519</v>
      </c>
      <c r="E1760" s="2115">
        <f>8646+30750</f>
        <v>39396</v>
      </c>
      <c r="F1760" s="2115">
        <f>8646+24750</f>
        <v>33396</v>
      </c>
      <c r="G1760" s="2010">
        <f t="shared" si="307"/>
        <v>0.84770027413950655</v>
      </c>
    </row>
    <row r="1761" spans="1:7" ht="12.75" customHeight="1">
      <c r="A1761" s="548"/>
      <c r="B1761" s="746"/>
      <c r="C1761" s="553"/>
      <c r="D1761" s="553"/>
      <c r="E1761" s="550"/>
      <c r="F1761" s="550"/>
      <c r="G1761" s="1433"/>
    </row>
    <row r="1762" spans="1:7" ht="17.100000000000001" customHeight="1">
      <c r="A1762" s="548"/>
      <c r="B1762" s="746"/>
      <c r="C1762" s="2988" t="s">
        <v>523</v>
      </c>
      <c r="D1762" s="2988"/>
      <c r="E1762" s="2075">
        <f>E1763</f>
        <v>483000</v>
      </c>
      <c r="F1762" s="2075">
        <f t="shared" ref="F1762" si="310">F1763</f>
        <v>175000</v>
      </c>
      <c r="G1762" s="2076">
        <f t="shared" si="307"/>
        <v>0.36231884057971014</v>
      </c>
    </row>
    <row r="1763" spans="1:7" ht="17.100000000000001" customHeight="1">
      <c r="A1763" s="548"/>
      <c r="B1763" s="746"/>
      <c r="C1763" s="2999" t="s">
        <v>524</v>
      </c>
      <c r="D1763" s="2999"/>
      <c r="E1763" s="2009">
        <f>SUM(E1764:E1767)</f>
        <v>483000</v>
      </c>
      <c r="F1763" s="2009">
        <f t="shared" ref="F1763" si="311">SUM(F1764:F1767)</f>
        <v>175000</v>
      </c>
      <c r="G1763" s="2010">
        <f t="shared" si="307"/>
        <v>0.36231884057971014</v>
      </c>
    </row>
    <row r="1764" spans="1:7" ht="17.100000000000001" customHeight="1">
      <c r="A1764" s="548"/>
      <c r="B1764" s="746"/>
      <c r="C1764" s="2049" t="s">
        <v>531</v>
      </c>
      <c r="D1764" s="2050" t="s">
        <v>526</v>
      </c>
      <c r="E1764" s="2009">
        <v>0</v>
      </c>
      <c r="F1764" s="2009">
        <v>75000</v>
      </c>
      <c r="G1764" s="2010"/>
    </row>
    <row r="1765" spans="1:7" ht="15" customHeight="1" thickBot="1">
      <c r="A1765" s="548"/>
      <c r="B1765" s="746"/>
      <c r="C1765" s="2049" t="s">
        <v>525</v>
      </c>
      <c r="D1765" s="2050" t="s">
        <v>571</v>
      </c>
      <c r="E1765" s="2009">
        <v>453000</v>
      </c>
      <c r="F1765" s="2009">
        <v>100000</v>
      </c>
      <c r="G1765" s="2010">
        <f t="shared" si="307"/>
        <v>0.22075055187637968</v>
      </c>
    </row>
    <row r="1766" spans="1:7" ht="17.100000000000001" hidden="1" customHeight="1">
      <c r="A1766" s="548"/>
      <c r="B1766" s="746"/>
      <c r="C1766" s="2049" t="s">
        <v>638</v>
      </c>
      <c r="D1766" s="2050" t="s">
        <v>571</v>
      </c>
      <c r="E1766" s="2009">
        <v>25500</v>
      </c>
      <c r="F1766" s="2009">
        <v>0</v>
      </c>
      <c r="G1766" s="2010">
        <f t="shared" si="307"/>
        <v>0</v>
      </c>
    </row>
    <row r="1767" spans="1:7" ht="17.100000000000001" hidden="1" customHeight="1">
      <c r="A1767" s="548"/>
      <c r="B1767" s="746"/>
      <c r="C1767" s="2049" t="s">
        <v>623</v>
      </c>
      <c r="D1767" s="2050" t="s">
        <v>571</v>
      </c>
      <c r="E1767" s="2009">
        <v>4500</v>
      </c>
      <c r="F1767" s="2009">
        <v>0</v>
      </c>
      <c r="G1767" s="2010">
        <f t="shared" si="307"/>
        <v>0</v>
      </c>
    </row>
    <row r="1768" spans="1:7" ht="15" hidden="1" customHeight="1">
      <c r="A1768" s="548"/>
      <c r="B1768" s="746"/>
      <c r="C1768" s="553"/>
      <c r="D1768" s="749"/>
      <c r="E1768" s="557"/>
      <c r="F1768" s="557"/>
      <c r="G1768" s="1460"/>
    </row>
    <row r="1769" spans="1:7" ht="20.25" hidden="1" customHeight="1">
      <c r="A1769" s="548"/>
      <c r="B1769" s="746"/>
      <c r="C1769" s="3001" t="s">
        <v>534</v>
      </c>
      <c r="D1769" s="3027"/>
      <c r="E1769" s="2009">
        <f>SUM(E1770:E1771)</f>
        <v>30000</v>
      </c>
      <c r="F1769" s="2009">
        <f t="shared" ref="F1769" si="312">SUM(F1770:F1771)</f>
        <v>0</v>
      </c>
      <c r="G1769" s="2010">
        <f t="shared" si="307"/>
        <v>0</v>
      </c>
    </row>
    <row r="1770" spans="1:7" ht="17.100000000000001" hidden="1" customHeight="1">
      <c r="A1770" s="548"/>
      <c r="B1770" s="746"/>
      <c r="C1770" s="2108" t="s">
        <v>638</v>
      </c>
      <c r="D1770" s="2121" t="s">
        <v>571</v>
      </c>
      <c r="E1770" s="2009">
        <v>25500</v>
      </c>
      <c r="F1770" s="2009">
        <v>0</v>
      </c>
      <c r="G1770" s="2010">
        <f t="shared" si="307"/>
        <v>0</v>
      </c>
    </row>
    <row r="1771" spans="1:7" ht="17.100000000000001" hidden="1" customHeight="1" thickBot="1">
      <c r="A1771" s="548"/>
      <c r="B1771" s="746"/>
      <c r="C1771" s="586" t="s">
        <v>623</v>
      </c>
      <c r="D1771" s="1541" t="s">
        <v>571</v>
      </c>
      <c r="E1771" s="2009">
        <v>4500</v>
      </c>
      <c r="F1771" s="2009">
        <v>0</v>
      </c>
      <c r="G1771" s="2010">
        <f t="shared" si="307"/>
        <v>0</v>
      </c>
    </row>
    <row r="1772" spans="1:7" ht="17.100000000000001" customHeight="1" thickBot="1">
      <c r="A1772" s="548"/>
      <c r="B1772" s="559" t="s">
        <v>861</v>
      </c>
      <c r="C1772" s="560"/>
      <c r="D1772" s="561" t="s">
        <v>239</v>
      </c>
      <c r="E1772" s="562">
        <f>E1773+E1801</f>
        <v>16420677</v>
      </c>
      <c r="F1772" s="562">
        <f t="shared" ref="F1772" si="313">F1773+F1801</f>
        <v>11828779</v>
      </c>
      <c r="G1772" s="1478">
        <f t="shared" si="307"/>
        <v>0.72035878910473672</v>
      </c>
    </row>
    <row r="1773" spans="1:7" ht="17.100000000000001" customHeight="1">
      <c r="A1773" s="548"/>
      <c r="B1773" s="2771"/>
      <c r="C1773" s="2853" t="s">
        <v>470</v>
      </c>
      <c r="D1773" s="2853"/>
      <c r="E1773" s="549">
        <f>E1774+E1781</f>
        <v>16111216</v>
      </c>
      <c r="F1773" s="549">
        <f t="shared" ref="F1773" si="314">F1774+F1781</f>
        <v>11814952</v>
      </c>
      <c r="G1773" s="1424">
        <f t="shared" si="307"/>
        <v>0.73333707399863546</v>
      </c>
    </row>
    <row r="1774" spans="1:7" ht="17.100000000000001" customHeight="1">
      <c r="A1774" s="548"/>
      <c r="B1774" s="2771"/>
      <c r="C1774" s="3015" t="s">
        <v>567</v>
      </c>
      <c r="D1774" s="3015"/>
      <c r="E1774" s="2015">
        <f>SUM(E1775:E1779)</f>
        <v>16024359</v>
      </c>
      <c r="F1774" s="2015">
        <f t="shared" ref="F1774" si="315">SUM(F1775:F1779)</f>
        <v>11737906</v>
      </c>
      <c r="G1774" s="2016">
        <f t="shared" si="307"/>
        <v>0.73250393354267707</v>
      </c>
    </row>
    <row r="1775" spans="1:7" ht="53.25" customHeight="1">
      <c r="A1775" s="548"/>
      <c r="B1775" s="2771"/>
      <c r="C1775" s="2118" t="s">
        <v>420</v>
      </c>
      <c r="D1775" s="2119" t="s">
        <v>592</v>
      </c>
      <c r="E1775" s="2009">
        <f>5616849+8807670</f>
        <v>14424519</v>
      </c>
      <c r="F1775" s="2009">
        <f>3837000+6527757</f>
        <v>10364757</v>
      </c>
      <c r="G1775" s="2010">
        <f t="shared" si="307"/>
        <v>0.71855130836598435</v>
      </c>
    </row>
    <row r="1776" spans="1:7" ht="53.25" customHeight="1">
      <c r="A1776" s="548"/>
      <c r="B1776" s="2771"/>
      <c r="C1776" s="2118" t="s">
        <v>303</v>
      </c>
      <c r="D1776" s="2122" t="s">
        <v>539</v>
      </c>
      <c r="E1776" s="2009">
        <v>1084649</v>
      </c>
      <c r="F1776" s="2009">
        <v>1373149</v>
      </c>
      <c r="G1776" s="2010">
        <f t="shared" si="307"/>
        <v>1.2659846641632455</v>
      </c>
    </row>
    <row r="1777" spans="1:7" ht="41.25" hidden="1" customHeight="1">
      <c r="A1777" s="548"/>
      <c r="B1777" s="741"/>
      <c r="C1777" s="2049" t="s">
        <v>586</v>
      </c>
      <c r="D1777" s="1625" t="s">
        <v>587</v>
      </c>
      <c r="E1777" s="2009">
        <v>1686</v>
      </c>
      <c r="F1777" s="551">
        <v>0</v>
      </c>
      <c r="G1777" s="1438">
        <f t="shared" ref="G1777:G1842" si="316">F1777/E1777</f>
        <v>0</v>
      </c>
    </row>
    <row r="1778" spans="1:7" ht="39" hidden="1" customHeight="1">
      <c r="A1778" s="548"/>
      <c r="B1778" s="741"/>
      <c r="C1778" s="2049" t="s">
        <v>391</v>
      </c>
      <c r="D1778" s="1625" t="s">
        <v>587</v>
      </c>
      <c r="E1778" s="2009">
        <f>299+834</f>
        <v>1133</v>
      </c>
      <c r="F1778" s="2015">
        <v>0</v>
      </c>
      <c r="G1778" s="2016">
        <f t="shared" si="316"/>
        <v>0</v>
      </c>
    </row>
    <row r="1779" spans="1:7" ht="18.75" hidden="1" customHeight="1">
      <c r="A1779" s="548"/>
      <c r="B1779" s="741"/>
      <c r="C1779" s="2118" t="s">
        <v>392</v>
      </c>
      <c r="D1779" s="2122" t="s">
        <v>594</v>
      </c>
      <c r="E1779" s="2009">
        <f>21572+490800</f>
        <v>512372</v>
      </c>
      <c r="F1779" s="2009">
        <v>0</v>
      </c>
      <c r="G1779" s="2010">
        <f t="shared" si="316"/>
        <v>0</v>
      </c>
    </row>
    <row r="1780" spans="1:7" ht="18" customHeight="1">
      <c r="A1780" s="548"/>
      <c r="B1780" s="741"/>
      <c r="C1780" s="748"/>
      <c r="D1780" s="585"/>
      <c r="E1780" s="2015"/>
      <c r="F1780" s="2015"/>
      <c r="G1780" s="2016"/>
    </row>
    <row r="1781" spans="1:7" ht="18" customHeight="1">
      <c r="A1781" s="548"/>
      <c r="B1781" s="741"/>
      <c r="C1781" s="3022" t="s">
        <v>536</v>
      </c>
      <c r="D1781" s="3022"/>
      <c r="E1781" s="2015">
        <f>SUM(E1782:E1799)</f>
        <v>86857</v>
      </c>
      <c r="F1781" s="2015">
        <f t="shared" ref="F1781" si="317">SUM(F1782:F1799)</f>
        <v>77046</v>
      </c>
      <c r="G1781" s="2016">
        <f t="shared" si="316"/>
        <v>0.88704422211220746</v>
      </c>
    </row>
    <row r="1782" spans="1:7" ht="18" customHeight="1">
      <c r="A1782" s="548"/>
      <c r="B1782" s="741"/>
      <c r="C1782" s="2049" t="s">
        <v>596</v>
      </c>
      <c r="D1782" s="2087" t="s">
        <v>474</v>
      </c>
      <c r="E1782" s="2123">
        <v>55369</v>
      </c>
      <c r="F1782" s="2123">
        <v>48879</v>
      </c>
      <c r="G1782" s="2124">
        <f t="shared" si="316"/>
        <v>0.88278639672018644</v>
      </c>
    </row>
    <row r="1783" spans="1:7" ht="18.75" customHeight="1">
      <c r="A1783" s="548"/>
      <c r="B1783" s="741"/>
      <c r="C1783" s="2049" t="s">
        <v>541</v>
      </c>
      <c r="D1783" s="1456" t="s">
        <v>474</v>
      </c>
      <c r="E1783" s="2123">
        <v>10327</v>
      </c>
      <c r="F1783" s="2123">
        <v>9117</v>
      </c>
      <c r="G1783" s="2124">
        <f t="shared" si="316"/>
        <v>0.88283141280139443</v>
      </c>
    </row>
    <row r="1784" spans="1:7" ht="18.75" customHeight="1">
      <c r="A1784" s="548"/>
      <c r="B1784" s="741"/>
      <c r="C1784" s="2056" t="s">
        <v>597</v>
      </c>
      <c r="D1784" s="2078" t="s">
        <v>476</v>
      </c>
      <c r="E1784" s="2123">
        <v>3284</v>
      </c>
      <c r="F1784" s="2123">
        <v>3537</v>
      </c>
      <c r="G1784" s="2124">
        <f t="shared" si="316"/>
        <v>1.0770401948842874</v>
      </c>
    </row>
    <row r="1785" spans="1:7" ht="18.75" customHeight="1">
      <c r="A1785" s="548"/>
      <c r="B1785" s="741"/>
      <c r="C1785" s="626" t="s">
        <v>543</v>
      </c>
      <c r="D1785" s="2078" t="s">
        <v>476</v>
      </c>
      <c r="E1785" s="2123">
        <v>612</v>
      </c>
      <c r="F1785" s="2123">
        <v>660</v>
      </c>
      <c r="G1785" s="2124">
        <f t="shared" si="316"/>
        <v>1.0784313725490196</v>
      </c>
    </row>
    <row r="1786" spans="1:7" ht="17.25" customHeight="1">
      <c r="A1786" s="548"/>
      <c r="B1786" s="741"/>
      <c r="C1786" s="2125" t="s">
        <v>598</v>
      </c>
      <c r="D1786" s="2120" t="s">
        <v>478</v>
      </c>
      <c r="E1786" s="2123">
        <v>9932</v>
      </c>
      <c r="F1786" s="2123">
        <v>8874</v>
      </c>
      <c r="G1786" s="2124">
        <f t="shared" si="316"/>
        <v>0.89347563431333066</v>
      </c>
    </row>
    <row r="1787" spans="1:7" ht="21" customHeight="1">
      <c r="A1787" s="548"/>
      <c r="B1787" s="741"/>
      <c r="C1787" s="1668" t="s">
        <v>545</v>
      </c>
      <c r="D1787" s="2120" t="s">
        <v>478</v>
      </c>
      <c r="E1787" s="2123">
        <v>1853</v>
      </c>
      <c r="F1787" s="2123">
        <v>1655</v>
      </c>
      <c r="G1787" s="2124">
        <f t="shared" si="316"/>
        <v>0.8931462493254182</v>
      </c>
    </row>
    <row r="1788" spans="1:7" ht="25.5" customHeight="1">
      <c r="A1788" s="548"/>
      <c r="B1788" s="741"/>
      <c r="C1788" s="2049" t="s">
        <v>599</v>
      </c>
      <c r="D1788" s="2050" t="s">
        <v>1028</v>
      </c>
      <c r="E1788" s="2123">
        <v>1437</v>
      </c>
      <c r="F1788" s="2123">
        <v>1284</v>
      </c>
      <c r="G1788" s="2124">
        <f t="shared" si="316"/>
        <v>0.89352818371607512</v>
      </c>
    </row>
    <row r="1789" spans="1:7" ht="30" customHeight="1">
      <c r="A1789" s="548"/>
      <c r="B1789" s="741"/>
      <c r="C1789" s="2049" t="s">
        <v>547</v>
      </c>
      <c r="D1789" s="2050" t="s">
        <v>1028</v>
      </c>
      <c r="E1789" s="2123">
        <v>269</v>
      </c>
      <c r="F1789" s="2123">
        <v>240</v>
      </c>
      <c r="G1789" s="2124">
        <f t="shared" si="316"/>
        <v>0.89219330855018586</v>
      </c>
    </row>
    <row r="1790" spans="1:7" ht="18.75" hidden="1" customHeight="1">
      <c r="A1790" s="548"/>
      <c r="B1790" s="741"/>
      <c r="C1790" s="2043" t="s">
        <v>600</v>
      </c>
      <c r="D1790" s="2050" t="s">
        <v>1028</v>
      </c>
      <c r="E1790" s="2123"/>
      <c r="F1790" s="2123"/>
      <c r="G1790" s="2124" t="e">
        <f t="shared" si="316"/>
        <v>#DIV/0!</v>
      </c>
    </row>
    <row r="1791" spans="1:7" ht="18.75" hidden="1" customHeight="1">
      <c r="A1791" s="548"/>
      <c r="B1791" s="741"/>
      <c r="C1791" s="2049" t="s">
        <v>554</v>
      </c>
      <c r="D1791" s="2050" t="s">
        <v>1028</v>
      </c>
      <c r="E1791" s="2123"/>
      <c r="F1791" s="2123"/>
      <c r="G1791" s="2124" t="e">
        <f t="shared" si="316"/>
        <v>#DIV/0!</v>
      </c>
    </row>
    <row r="1792" spans="1:7" ht="18" customHeight="1">
      <c r="A1792" s="548"/>
      <c r="B1792" s="741"/>
      <c r="C1792" s="2049" t="s">
        <v>844</v>
      </c>
      <c r="D1792" s="2050" t="s">
        <v>495</v>
      </c>
      <c r="E1792" s="2123">
        <v>61</v>
      </c>
      <c r="F1792" s="2123">
        <v>85</v>
      </c>
      <c r="G1792" s="2124">
        <f t="shared" si="316"/>
        <v>1.3934426229508197</v>
      </c>
    </row>
    <row r="1793" spans="1:7" ht="17.25" customHeight="1">
      <c r="A1793" s="548"/>
      <c r="B1793" s="741"/>
      <c r="C1793" s="2049" t="s">
        <v>695</v>
      </c>
      <c r="D1793" s="2050" t="s">
        <v>495</v>
      </c>
      <c r="E1793" s="2123">
        <v>12</v>
      </c>
      <c r="F1793" s="2123">
        <v>15</v>
      </c>
      <c r="G1793" s="2124">
        <f t="shared" si="316"/>
        <v>1.25</v>
      </c>
    </row>
    <row r="1794" spans="1:7" ht="18.75" hidden="1" customHeight="1">
      <c r="A1794" s="548"/>
      <c r="B1794" s="741"/>
      <c r="C1794" s="2049" t="s">
        <v>601</v>
      </c>
      <c r="D1794" s="2050" t="s">
        <v>497</v>
      </c>
      <c r="E1794" s="2123"/>
      <c r="F1794" s="2123"/>
      <c r="G1794" s="2124" t="e">
        <f t="shared" si="316"/>
        <v>#DIV/0!</v>
      </c>
    </row>
    <row r="1795" spans="1:7" ht="18" hidden="1" customHeight="1">
      <c r="A1795" s="548"/>
      <c r="B1795" s="741"/>
      <c r="C1795" s="2049" t="s">
        <v>558</v>
      </c>
      <c r="D1795" s="2050" t="s">
        <v>497</v>
      </c>
      <c r="E1795" s="2123"/>
      <c r="F1795" s="2123"/>
      <c r="G1795" s="2124" t="e">
        <f t="shared" si="316"/>
        <v>#DIV/0!</v>
      </c>
    </row>
    <row r="1796" spans="1:7" ht="18" customHeight="1">
      <c r="A1796" s="548"/>
      <c r="B1796" s="741"/>
      <c r="C1796" s="2049" t="s">
        <v>602</v>
      </c>
      <c r="D1796" s="2050" t="s">
        <v>505</v>
      </c>
      <c r="E1796" s="2123">
        <v>2083</v>
      </c>
      <c r="F1796" s="2123">
        <v>1238</v>
      </c>
      <c r="G1796" s="2124">
        <f t="shared" si="316"/>
        <v>0.59433509361497838</v>
      </c>
    </row>
    <row r="1797" spans="1:7" ht="18.75" customHeight="1">
      <c r="A1797" s="548"/>
      <c r="B1797" s="741"/>
      <c r="C1797" s="2049" t="s">
        <v>562</v>
      </c>
      <c r="D1797" s="2050" t="s">
        <v>505</v>
      </c>
      <c r="E1797" s="2123">
        <v>387</v>
      </c>
      <c r="F1797" s="2123">
        <v>231</v>
      </c>
      <c r="G1797" s="2124">
        <f t="shared" si="316"/>
        <v>0.5968992248062015</v>
      </c>
    </row>
    <row r="1798" spans="1:7" ht="16.5" customHeight="1">
      <c r="A1798" s="548"/>
      <c r="B1798" s="741"/>
      <c r="C1798" s="2043" t="s">
        <v>846</v>
      </c>
      <c r="D1798" s="2044" t="s">
        <v>509</v>
      </c>
      <c r="E1798" s="2123">
        <v>1037</v>
      </c>
      <c r="F1798" s="2123">
        <v>1037</v>
      </c>
      <c r="G1798" s="2124">
        <f t="shared" si="316"/>
        <v>1</v>
      </c>
    </row>
    <row r="1799" spans="1:7" ht="16.5" customHeight="1">
      <c r="A1799" s="548"/>
      <c r="B1799" s="741"/>
      <c r="C1799" s="2126" t="s">
        <v>847</v>
      </c>
      <c r="D1799" s="2044" t="s">
        <v>509</v>
      </c>
      <c r="E1799" s="2123">
        <v>194</v>
      </c>
      <c r="F1799" s="2123">
        <v>194</v>
      </c>
      <c r="G1799" s="2124">
        <f t="shared" si="316"/>
        <v>1</v>
      </c>
    </row>
    <row r="1800" spans="1:7" ht="13.5" customHeight="1">
      <c r="A1800" s="548"/>
      <c r="B1800" s="741"/>
      <c r="C1800" s="3023"/>
      <c r="D1800" s="3024"/>
      <c r="E1800" s="551"/>
      <c r="F1800" s="2009"/>
      <c r="G1800" s="1438"/>
    </row>
    <row r="1801" spans="1:7" ht="16.5" customHeight="1">
      <c r="A1801" s="548"/>
      <c r="B1801" s="741"/>
      <c r="C1801" s="2988" t="s">
        <v>523</v>
      </c>
      <c r="D1801" s="2988"/>
      <c r="E1801" s="2127">
        <f>E1802</f>
        <v>309461</v>
      </c>
      <c r="F1801" s="2127">
        <f t="shared" ref="F1801" si="318">F1802</f>
        <v>13827</v>
      </c>
      <c r="G1801" s="2128">
        <f t="shared" si="316"/>
        <v>4.4680912942180115E-2</v>
      </c>
    </row>
    <row r="1802" spans="1:7" ht="16.5" customHeight="1">
      <c r="A1802" s="548"/>
      <c r="B1802" s="741"/>
      <c r="C1802" s="2999" t="s">
        <v>524</v>
      </c>
      <c r="D1802" s="2999"/>
      <c r="E1802" s="2015">
        <f>SUM(E1803:E1804)</f>
        <v>309461</v>
      </c>
      <c r="F1802" s="2015">
        <f t="shared" ref="F1802" si="319">SUM(F1803:F1804)</f>
        <v>13827</v>
      </c>
      <c r="G1802" s="2016">
        <f t="shared" si="316"/>
        <v>4.4680912942180115E-2</v>
      </c>
    </row>
    <row r="1803" spans="1:7" ht="54.75" customHeight="1" thickBot="1">
      <c r="A1803" s="548"/>
      <c r="B1803" s="741"/>
      <c r="C1803" s="2049" t="s">
        <v>608</v>
      </c>
      <c r="D1803" s="2050" t="s">
        <v>609</v>
      </c>
      <c r="E1803" s="2123">
        <v>308362</v>
      </c>
      <c r="F1803" s="2123">
        <v>13827</v>
      </c>
      <c r="G1803" s="2124">
        <f t="shared" si="316"/>
        <v>4.4840155401768049E-2</v>
      </c>
    </row>
    <row r="1804" spans="1:7" ht="28.5" hidden="1" customHeight="1" thickBot="1">
      <c r="A1804" s="548"/>
      <c r="B1804" s="741"/>
      <c r="C1804" s="2049" t="s">
        <v>393</v>
      </c>
      <c r="D1804" s="2050" t="s">
        <v>706</v>
      </c>
      <c r="E1804" s="2123">
        <v>1099</v>
      </c>
      <c r="F1804" s="2123">
        <v>0</v>
      </c>
      <c r="G1804" s="2124">
        <f t="shared" si="316"/>
        <v>0</v>
      </c>
    </row>
    <row r="1805" spans="1:7" ht="17.100000000000001" customHeight="1" thickBot="1">
      <c r="A1805" s="545" t="s">
        <v>195</v>
      </c>
      <c r="B1805" s="565"/>
      <c r="C1805" s="566"/>
      <c r="D1805" s="567" t="s">
        <v>862</v>
      </c>
      <c r="E1805" s="568">
        <f>SUM(E1806,E1826,E1852)</f>
        <v>4888339</v>
      </c>
      <c r="F1805" s="568">
        <f t="shared" ref="F1805" si="320">SUM(F1806,F1826,F1852)</f>
        <v>2725507</v>
      </c>
      <c r="G1805" s="1499">
        <f t="shared" si="316"/>
        <v>0.5575527801979363</v>
      </c>
    </row>
    <row r="1806" spans="1:7" ht="17.100000000000001" customHeight="1" thickBot="1">
      <c r="A1806" s="548"/>
      <c r="B1806" s="559" t="s">
        <v>863</v>
      </c>
      <c r="C1806" s="560"/>
      <c r="D1806" s="561" t="s">
        <v>864</v>
      </c>
      <c r="E1806" s="562">
        <f t="shared" ref="E1806:F1806" si="321">E1807</f>
        <v>821339</v>
      </c>
      <c r="F1806" s="562">
        <f t="shared" si="321"/>
        <v>904507</v>
      </c>
      <c r="G1806" s="1478">
        <f t="shared" si="316"/>
        <v>1.1012590416381056</v>
      </c>
    </row>
    <row r="1807" spans="1:7" ht="17.100000000000001" customHeight="1">
      <c r="A1807" s="548"/>
      <c r="B1807" s="746"/>
      <c r="C1807" s="3025" t="s">
        <v>470</v>
      </c>
      <c r="D1807" s="2784"/>
      <c r="E1807" s="549">
        <f t="shared" ref="E1807:F1807" si="322">E1808+E1824</f>
        <v>821339</v>
      </c>
      <c r="F1807" s="549">
        <f t="shared" si="322"/>
        <v>904507</v>
      </c>
      <c r="G1807" s="1424">
        <f t="shared" si="316"/>
        <v>1.1012590416381056</v>
      </c>
    </row>
    <row r="1808" spans="1:7" ht="17.100000000000001" customHeight="1">
      <c r="A1808" s="548"/>
      <c r="B1808" s="746"/>
      <c r="C1808" s="3019" t="s">
        <v>471</v>
      </c>
      <c r="D1808" s="3019"/>
      <c r="E1808" s="2009">
        <f t="shared" ref="E1808:F1808" si="323">E1809+E1815</f>
        <v>817896</v>
      </c>
      <c r="F1808" s="2009">
        <f t="shared" si="323"/>
        <v>901064</v>
      </c>
      <c r="G1808" s="2010">
        <f t="shared" si="316"/>
        <v>1.1016852998425228</v>
      </c>
    </row>
    <row r="1809" spans="1:7" ht="17.100000000000001" customHeight="1">
      <c r="A1809" s="548"/>
      <c r="B1809" s="746"/>
      <c r="C1809" s="3030" t="s">
        <v>472</v>
      </c>
      <c r="D1809" s="3030"/>
      <c r="E1809" s="2009">
        <f t="shared" ref="E1809:F1809" si="324">SUM(E1810:E1813)</f>
        <v>694114</v>
      </c>
      <c r="F1809" s="2009">
        <f t="shared" si="324"/>
        <v>774737</v>
      </c>
      <c r="G1809" s="2010">
        <f t="shared" si="316"/>
        <v>1.1161523899532353</v>
      </c>
    </row>
    <row r="1810" spans="1:7" ht="17.100000000000001" customHeight="1">
      <c r="A1810" s="548"/>
      <c r="B1810" s="746"/>
      <c r="C1810" s="2049" t="s">
        <v>473</v>
      </c>
      <c r="D1810" s="2050" t="s">
        <v>474</v>
      </c>
      <c r="E1810" s="2009">
        <v>534803</v>
      </c>
      <c r="F1810" s="2009">
        <v>599883</v>
      </c>
      <c r="G1810" s="2010">
        <f t="shared" si="316"/>
        <v>1.1216896689061207</v>
      </c>
    </row>
    <row r="1811" spans="1:7" ht="17.100000000000001" customHeight="1">
      <c r="A1811" s="548"/>
      <c r="B1811" s="746"/>
      <c r="C1811" s="2049" t="s">
        <v>475</v>
      </c>
      <c r="D1811" s="2050" t="s">
        <v>476</v>
      </c>
      <c r="E1811" s="2009">
        <v>45366</v>
      </c>
      <c r="F1811" s="2009">
        <v>48570</v>
      </c>
      <c r="G1811" s="2010">
        <f t="shared" si="316"/>
        <v>1.0706255786271657</v>
      </c>
    </row>
    <row r="1812" spans="1:7" ht="17.100000000000001" customHeight="1">
      <c r="A1812" s="548"/>
      <c r="B1812" s="746"/>
      <c r="C1812" s="2049" t="s">
        <v>477</v>
      </c>
      <c r="D1812" s="2050" t="s">
        <v>478</v>
      </c>
      <c r="E1812" s="2009">
        <v>99732</v>
      </c>
      <c r="F1812" s="2009">
        <v>110548</v>
      </c>
      <c r="G1812" s="2010">
        <f t="shared" si="316"/>
        <v>1.1084506477359324</v>
      </c>
    </row>
    <row r="1813" spans="1:7" ht="30" customHeight="1">
      <c r="A1813" s="548"/>
      <c r="B1813" s="746"/>
      <c r="C1813" s="2049" t="s">
        <v>479</v>
      </c>
      <c r="D1813" s="2050" t="s">
        <v>1028</v>
      </c>
      <c r="E1813" s="2009">
        <v>14213</v>
      </c>
      <c r="F1813" s="2009">
        <v>15736</v>
      </c>
      <c r="G1813" s="2010">
        <f t="shared" si="316"/>
        <v>1.1071554210933652</v>
      </c>
    </row>
    <row r="1814" spans="1:7" ht="17.100000000000001" customHeight="1">
      <c r="A1814" s="548"/>
      <c r="B1814" s="746"/>
      <c r="C1814" s="553"/>
      <c r="D1814" s="553"/>
      <c r="E1814" s="550"/>
      <c r="F1814" s="550"/>
      <c r="G1814" s="1433"/>
    </row>
    <row r="1815" spans="1:7" ht="17.100000000000001" customHeight="1">
      <c r="A1815" s="548"/>
      <c r="B1815" s="746"/>
      <c r="C1815" s="3001" t="s">
        <v>483</v>
      </c>
      <c r="D1815" s="3001"/>
      <c r="E1815" s="2009">
        <f t="shared" ref="E1815:F1815" si="325">SUM(E1816:E1822)</f>
        <v>123782</v>
      </c>
      <c r="F1815" s="2009">
        <f t="shared" si="325"/>
        <v>126327</v>
      </c>
      <c r="G1815" s="2010">
        <f t="shared" si="316"/>
        <v>1.0205603399524972</v>
      </c>
    </row>
    <row r="1816" spans="1:7" ht="17.100000000000001" customHeight="1">
      <c r="A1816" s="548"/>
      <c r="B1816" s="746"/>
      <c r="C1816" s="2049" t="s">
        <v>486</v>
      </c>
      <c r="D1816" s="2050" t="s">
        <v>487</v>
      </c>
      <c r="E1816" s="2009">
        <v>51580</v>
      </c>
      <c r="F1816" s="2009">
        <v>51580</v>
      </c>
      <c r="G1816" s="2010">
        <f t="shared" si="316"/>
        <v>1</v>
      </c>
    </row>
    <row r="1817" spans="1:7" ht="17.100000000000001" customHeight="1">
      <c r="A1817" s="548"/>
      <c r="B1817" s="746"/>
      <c r="C1817" s="2049" t="s">
        <v>490</v>
      </c>
      <c r="D1817" s="2050" t="s">
        <v>491</v>
      </c>
      <c r="E1817" s="2009">
        <v>40711</v>
      </c>
      <c r="F1817" s="2009">
        <v>40711</v>
      </c>
      <c r="G1817" s="2010">
        <f t="shared" si="316"/>
        <v>1</v>
      </c>
    </row>
    <row r="1818" spans="1:7" ht="17.100000000000001" customHeight="1">
      <c r="A1818" s="548"/>
      <c r="B1818" s="746"/>
      <c r="C1818" s="2049" t="s">
        <v>494</v>
      </c>
      <c r="D1818" s="2050" t="s">
        <v>495</v>
      </c>
      <c r="E1818" s="2009">
        <v>1576</v>
      </c>
      <c r="F1818" s="2009">
        <v>1576</v>
      </c>
      <c r="G1818" s="2010">
        <f t="shared" si="316"/>
        <v>1</v>
      </c>
    </row>
    <row r="1819" spans="1:7" ht="17.100000000000001" customHeight="1">
      <c r="A1819" s="548"/>
      <c r="B1819" s="746"/>
      <c r="C1819" s="2049" t="s">
        <v>496</v>
      </c>
      <c r="D1819" s="2050" t="s">
        <v>497</v>
      </c>
      <c r="E1819" s="2009">
        <v>3393</v>
      </c>
      <c r="F1819" s="2009">
        <v>3393</v>
      </c>
      <c r="G1819" s="2010">
        <f t="shared" si="316"/>
        <v>1</v>
      </c>
    </row>
    <row r="1820" spans="1:7" ht="16.5" customHeight="1">
      <c r="A1820" s="548"/>
      <c r="B1820" s="2888"/>
      <c r="C1820" s="2049" t="s">
        <v>498</v>
      </c>
      <c r="D1820" s="2050" t="s">
        <v>666</v>
      </c>
      <c r="E1820" s="2009">
        <v>620</v>
      </c>
      <c r="F1820" s="2009">
        <v>620</v>
      </c>
      <c r="G1820" s="2010">
        <f t="shared" si="316"/>
        <v>1</v>
      </c>
    </row>
    <row r="1821" spans="1:7" ht="17.100000000000001" customHeight="1">
      <c r="A1821" s="548"/>
      <c r="B1821" s="2888"/>
      <c r="C1821" s="2043" t="s">
        <v>508</v>
      </c>
      <c r="D1821" s="2044" t="s">
        <v>509</v>
      </c>
      <c r="E1821" s="2009">
        <v>24308</v>
      </c>
      <c r="F1821" s="2009">
        <v>25215</v>
      </c>
      <c r="G1821" s="2010">
        <f t="shared" si="316"/>
        <v>1.0373128188250782</v>
      </c>
    </row>
    <row r="1822" spans="1:7" ht="17.100000000000001" customHeight="1">
      <c r="A1822" s="548"/>
      <c r="B1822" s="2888"/>
      <c r="C1822" s="2118" t="s">
        <v>514</v>
      </c>
      <c r="D1822" s="2119" t="s">
        <v>865</v>
      </c>
      <c r="E1822" s="2009">
        <v>1594</v>
      </c>
      <c r="F1822" s="2009">
        <v>3232</v>
      </c>
      <c r="G1822" s="2010">
        <f t="shared" si="316"/>
        <v>2.0276035131744039</v>
      </c>
    </row>
    <row r="1823" spans="1:7" ht="17.100000000000001" customHeight="1">
      <c r="A1823" s="548"/>
      <c r="B1823" s="2888"/>
      <c r="C1823" s="2067"/>
      <c r="D1823" s="2068"/>
      <c r="E1823" s="2069"/>
      <c r="F1823" s="2069"/>
      <c r="G1823" s="2070"/>
    </row>
    <row r="1824" spans="1:7" ht="17.100000000000001" customHeight="1">
      <c r="A1824" s="548"/>
      <c r="B1824" s="2888"/>
      <c r="C1824" s="2852" t="s">
        <v>520</v>
      </c>
      <c r="D1824" s="2852"/>
      <c r="E1824" s="564">
        <f t="shared" ref="E1824:F1824" si="326">E1825</f>
        <v>3443</v>
      </c>
      <c r="F1824" s="564">
        <f t="shared" si="326"/>
        <v>3443</v>
      </c>
      <c r="G1824" s="1497">
        <f t="shared" si="316"/>
        <v>1</v>
      </c>
    </row>
    <row r="1825" spans="1:7" ht="17.100000000000001" customHeight="1" thickBot="1">
      <c r="A1825" s="548"/>
      <c r="B1825" s="2888"/>
      <c r="C1825" s="2043" t="s">
        <v>521</v>
      </c>
      <c r="D1825" s="2044" t="s">
        <v>522</v>
      </c>
      <c r="E1825" s="2015">
        <v>3443</v>
      </c>
      <c r="F1825" s="2015">
        <v>3443</v>
      </c>
      <c r="G1825" s="2016">
        <f t="shared" si="316"/>
        <v>1</v>
      </c>
    </row>
    <row r="1826" spans="1:7" ht="17.100000000000001" customHeight="1" thickBot="1">
      <c r="A1826" s="548"/>
      <c r="B1826" s="559" t="s">
        <v>866</v>
      </c>
      <c r="C1826" s="560"/>
      <c r="D1826" s="561" t="s">
        <v>867</v>
      </c>
      <c r="E1826" s="562">
        <f t="shared" ref="E1826:F1827" si="327">E1827</f>
        <v>3717000</v>
      </c>
      <c r="F1826" s="562">
        <f t="shared" si="327"/>
        <v>1821000</v>
      </c>
      <c r="G1826" s="1478">
        <f t="shared" si="316"/>
        <v>0.48991121872477805</v>
      </c>
    </row>
    <row r="1827" spans="1:7" ht="17.100000000000001" customHeight="1">
      <c r="A1827" s="548"/>
      <c r="B1827" s="2771"/>
      <c r="C1827" s="2853" t="s">
        <v>470</v>
      </c>
      <c r="D1827" s="2853"/>
      <c r="E1827" s="549">
        <f t="shared" si="327"/>
        <v>3717000</v>
      </c>
      <c r="F1827" s="549">
        <f t="shared" si="327"/>
        <v>1821000</v>
      </c>
      <c r="G1827" s="1424">
        <f t="shared" si="316"/>
        <v>0.48991121872477805</v>
      </c>
    </row>
    <row r="1828" spans="1:7" ht="17.100000000000001" customHeight="1">
      <c r="A1828" s="548"/>
      <c r="B1828" s="2771"/>
      <c r="C1828" s="3000" t="s">
        <v>536</v>
      </c>
      <c r="D1828" s="3000"/>
      <c r="E1828" s="2009">
        <f>SUM(E1829:E1851)</f>
        <v>3717000</v>
      </c>
      <c r="F1828" s="2009">
        <f t="shared" ref="F1828" si="328">SUM(F1829:F1851)</f>
        <v>1821000</v>
      </c>
      <c r="G1828" s="2010">
        <f t="shared" si="316"/>
        <v>0.48991121872477805</v>
      </c>
    </row>
    <row r="1829" spans="1:7" ht="19.5" customHeight="1">
      <c r="A1829" s="548"/>
      <c r="B1829" s="2771"/>
      <c r="C1829" s="2049" t="s">
        <v>778</v>
      </c>
      <c r="D1829" s="2050" t="s">
        <v>777</v>
      </c>
      <c r="E1829" s="2009">
        <v>2669000</v>
      </c>
      <c r="F1829" s="2009">
        <v>1326000</v>
      </c>
      <c r="G1829" s="2010">
        <f t="shared" si="316"/>
        <v>0.49681528662420382</v>
      </c>
    </row>
    <row r="1830" spans="1:7" ht="17.100000000000001" customHeight="1">
      <c r="A1830" s="548"/>
      <c r="B1830" s="746"/>
      <c r="C1830" s="2049" t="s">
        <v>779</v>
      </c>
      <c r="D1830" s="2050" t="s">
        <v>777</v>
      </c>
      <c r="E1830" s="2009">
        <v>471000</v>
      </c>
      <c r="F1830" s="2009">
        <v>234000</v>
      </c>
      <c r="G1830" s="2010">
        <f t="shared" si="316"/>
        <v>0.49681528662420382</v>
      </c>
    </row>
    <row r="1831" spans="1:7" ht="17.100000000000001" hidden="1" customHeight="1">
      <c r="A1831" s="548"/>
      <c r="B1831" s="746"/>
      <c r="C1831" s="2049" t="s">
        <v>596</v>
      </c>
      <c r="D1831" s="2050" t="s">
        <v>474</v>
      </c>
      <c r="E1831" s="2009"/>
      <c r="F1831" s="2009"/>
      <c r="G1831" s="2010" t="e">
        <f t="shared" si="316"/>
        <v>#DIV/0!</v>
      </c>
    </row>
    <row r="1832" spans="1:7" ht="17.100000000000001" customHeight="1">
      <c r="A1832" s="548"/>
      <c r="B1832" s="746"/>
      <c r="C1832" s="2049" t="s">
        <v>596</v>
      </c>
      <c r="D1832" s="2050" t="s">
        <v>474</v>
      </c>
      <c r="E1832" s="2009">
        <v>368360</v>
      </c>
      <c r="F1832" s="2009">
        <v>166624</v>
      </c>
      <c r="G1832" s="2010">
        <f t="shared" si="316"/>
        <v>0.452340102074058</v>
      </c>
    </row>
    <row r="1833" spans="1:7" ht="17.100000000000001" customHeight="1">
      <c r="A1833" s="548"/>
      <c r="B1833" s="746"/>
      <c r="C1833" s="2049" t="s">
        <v>541</v>
      </c>
      <c r="D1833" s="2050" t="s">
        <v>474</v>
      </c>
      <c r="E1833" s="2009">
        <v>65005</v>
      </c>
      <c r="F1833" s="2009">
        <v>29404</v>
      </c>
      <c r="G1833" s="2010">
        <f t="shared" si="316"/>
        <v>0.45233443581262978</v>
      </c>
    </row>
    <row r="1834" spans="1:7" ht="17.100000000000001" hidden="1" customHeight="1">
      <c r="A1834" s="548"/>
      <c r="B1834" s="746"/>
      <c r="C1834" s="2049" t="s">
        <v>598</v>
      </c>
      <c r="D1834" s="2050" t="s">
        <v>478</v>
      </c>
      <c r="E1834" s="2009"/>
      <c r="F1834" s="2009"/>
      <c r="G1834" s="2010" t="e">
        <f t="shared" si="316"/>
        <v>#DIV/0!</v>
      </c>
    </row>
    <row r="1835" spans="1:7" ht="17.100000000000001" customHeight="1">
      <c r="A1835" s="548"/>
      <c r="B1835" s="746"/>
      <c r="C1835" s="2049" t="s">
        <v>598</v>
      </c>
      <c r="D1835" s="2050" t="s">
        <v>478</v>
      </c>
      <c r="E1835" s="2009">
        <v>64016</v>
      </c>
      <c r="F1835" s="2009">
        <v>28954</v>
      </c>
      <c r="G1835" s="2010">
        <f t="shared" si="316"/>
        <v>0.45229317670582353</v>
      </c>
    </row>
    <row r="1836" spans="1:7" ht="17.100000000000001" customHeight="1">
      <c r="A1836" s="548"/>
      <c r="B1836" s="746"/>
      <c r="C1836" s="2049" t="s">
        <v>545</v>
      </c>
      <c r="D1836" s="2050" t="s">
        <v>478</v>
      </c>
      <c r="E1836" s="2009">
        <v>11297</v>
      </c>
      <c r="F1836" s="2009">
        <v>5110</v>
      </c>
      <c r="G1836" s="2010">
        <f t="shared" si="316"/>
        <v>0.45233247764893336</v>
      </c>
    </row>
    <row r="1837" spans="1:7" ht="17.100000000000001" hidden="1" customHeight="1">
      <c r="A1837" s="548"/>
      <c r="B1837" s="746"/>
      <c r="C1837" s="2049" t="s">
        <v>599</v>
      </c>
      <c r="D1837" s="2050" t="s">
        <v>480</v>
      </c>
      <c r="E1837" s="2009"/>
      <c r="F1837" s="2009"/>
      <c r="G1837" s="2010" t="e">
        <f t="shared" si="316"/>
        <v>#DIV/0!</v>
      </c>
    </row>
    <row r="1838" spans="1:7" ht="27.75" customHeight="1">
      <c r="A1838" s="548"/>
      <c r="B1838" s="746"/>
      <c r="C1838" s="2049" t="s">
        <v>599</v>
      </c>
      <c r="D1838" s="2050" t="s">
        <v>1028</v>
      </c>
      <c r="E1838" s="2009">
        <v>9028</v>
      </c>
      <c r="F1838" s="2009">
        <v>4086</v>
      </c>
      <c r="G1838" s="2010">
        <f t="shared" si="316"/>
        <v>0.45259193619849358</v>
      </c>
    </row>
    <row r="1839" spans="1:7" ht="29.25" customHeight="1">
      <c r="A1839" s="548"/>
      <c r="B1839" s="746"/>
      <c r="C1839" s="2049" t="s">
        <v>547</v>
      </c>
      <c r="D1839" s="2050" t="s">
        <v>1028</v>
      </c>
      <c r="E1839" s="2009">
        <v>1594</v>
      </c>
      <c r="F1839" s="2009">
        <v>722</v>
      </c>
      <c r="G1839" s="2010">
        <f t="shared" si="316"/>
        <v>0.45294855708908405</v>
      </c>
    </row>
    <row r="1840" spans="1:7" ht="17.100000000000001" hidden="1" customHeight="1">
      <c r="A1840" s="548"/>
      <c r="B1840" s="746"/>
      <c r="C1840" s="2049" t="s">
        <v>673</v>
      </c>
      <c r="D1840" s="2050" t="s">
        <v>482</v>
      </c>
      <c r="E1840" s="2009"/>
      <c r="F1840" s="2009"/>
      <c r="G1840" s="2010" t="e">
        <f t="shared" si="316"/>
        <v>#DIV/0!</v>
      </c>
    </row>
    <row r="1841" spans="1:7" ht="17.100000000000001" hidden="1" customHeight="1">
      <c r="A1841" s="548"/>
      <c r="B1841" s="746"/>
      <c r="C1841" s="2049" t="s">
        <v>549</v>
      </c>
      <c r="D1841" s="2050" t="s">
        <v>482</v>
      </c>
      <c r="E1841" s="2009"/>
      <c r="F1841" s="2009"/>
      <c r="G1841" s="2010" t="e">
        <f t="shared" si="316"/>
        <v>#DIV/0!</v>
      </c>
    </row>
    <row r="1842" spans="1:7" ht="15" hidden="1" customHeight="1">
      <c r="A1842" s="548"/>
      <c r="B1842" s="746"/>
      <c r="C1842" s="2049" t="s">
        <v>600</v>
      </c>
      <c r="D1842" s="2050" t="s">
        <v>487</v>
      </c>
      <c r="E1842" s="2009"/>
      <c r="F1842" s="2009"/>
      <c r="G1842" s="2010" t="e">
        <f t="shared" si="316"/>
        <v>#DIV/0!</v>
      </c>
    </row>
    <row r="1843" spans="1:7" ht="17.100000000000001" customHeight="1">
      <c r="A1843" s="548"/>
      <c r="B1843" s="746"/>
      <c r="C1843" s="2049" t="s">
        <v>600</v>
      </c>
      <c r="D1843" s="2050" t="s">
        <v>487</v>
      </c>
      <c r="E1843" s="2009">
        <v>29427</v>
      </c>
      <c r="F1843" s="2009">
        <v>13311</v>
      </c>
      <c r="G1843" s="2010">
        <f t="shared" ref="G1843:G1947" si="329">F1843/E1843</f>
        <v>0.45233968804159447</v>
      </c>
    </row>
    <row r="1844" spans="1:7" ht="17.100000000000001" customHeight="1">
      <c r="A1844" s="548"/>
      <c r="B1844" s="746"/>
      <c r="C1844" s="2049" t="s">
        <v>554</v>
      </c>
      <c r="D1844" s="2050" t="s">
        <v>487</v>
      </c>
      <c r="E1844" s="2009">
        <v>5193</v>
      </c>
      <c r="F1844" s="2009">
        <v>2349</v>
      </c>
      <c r="G1844" s="2010">
        <f t="shared" si="329"/>
        <v>0.45233968804159447</v>
      </c>
    </row>
    <row r="1845" spans="1:7" ht="17.100000000000001" customHeight="1">
      <c r="A1845" s="548"/>
      <c r="B1845" s="746"/>
      <c r="C1845" s="2049" t="s">
        <v>786</v>
      </c>
      <c r="D1845" s="2050" t="s">
        <v>491</v>
      </c>
      <c r="E1845" s="2009">
        <v>9809</v>
      </c>
      <c r="F1845" s="2009">
        <v>4437</v>
      </c>
      <c r="G1845" s="2010">
        <f t="shared" si="329"/>
        <v>0.45233968804159447</v>
      </c>
    </row>
    <row r="1846" spans="1:7" ht="17.100000000000001" customHeight="1">
      <c r="A1846" s="548"/>
      <c r="B1846" s="746"/>
      <c r="C1846" s="2049" t="s">
        <v>693</v>
      </c>
      <c r="D1846" s="2050" t="s">
        <v>491</v>
      </c>
      <c r="E1846" s="2009">
        <v>1731</v>
      </c>
      <c r="F1846" s="2009">
        <v>783</v>
      </c>
      <c r="G1846" s="2010">
        <f t="shared" si="329"/>
        <v>0.45233968804159447</v>
      </c>
    </row>
    <row r="1847" spans="1:7" ht="17.100000000000001" customHeight="1">
      <c r="A1847" s="548"/>
      <c r="B1847" s="746"/>
      <c r="C1847" s="2049" t="s">
        <v>601</v>
      </c>
      <c r="D1847" s="2050" t="s">
        <v>497</v>
      </c>
      <c r="E1847" s="2009">
        <v>4905</v>
      </c>
      <c r="F1847" s="2009">
        <v>2219</v>
      </c>
      <c r="G1847" s="2010">
        <f t="shared" si="329"/>
        <v>0.45239551478083589</v>
      </c>
    </row>
    <row r="1848" spans="1:7" ht="17.100000000000001" customHeight="1">
      <c r="A1848" s="548"/>
      <c r="B1848" s="746"/>
      <c r="C1848" s="2049" t="s">
        <v>558</v>
      </c>
      <c r="D1848" s="2050" t="s">
        <v>497</v>
      </c>
      <c r="E1848" s="2009">
        <v>865</v>
      </c>
      <c r="F1848" s="2009">
        <v>391</v>
      </c>
      <c r="G1848" s="2010">
        <f t="shared" si="329"/>
        <v>0.45202312138728323</v>
      </c>
    </row>
    <row r="1849" spans="1:7" ht="17.100000000000001" customHeight="1">
      <c r="A1849" s="548"/>
      <c r="B1849" s="746"/>
      <c r="C1849" s="2049" t="s">
        <v>790</v>
      </c>
      <c r="D1849" s="2050" t="s">
        <v>666</v>
      </c>
      <c r="E1849" s="2009">
        <v>4905</v>
      </c>
      <c r="F1849" s="2009">
        <v>2219</v>
      </c>
      <c r="G1849" s="2010">
        <f t="shared" si="329"/>
        <v>0.45239551478083589</v>
      </c>
    </row>
    <row r="1850" spans="1:7" ht="17.100000000000001" customHeight="1" thickBot="1">
      <c r="A1850" s="548"/>
      <c r="B1850" s="746"/>
      <c r="C1850" s="2049" t="s">
        <v>719</v>
      </c>
      <c r="D1850" s="2050" t="s">
        <v>666</v>
      </c>
      <c r="E1850" s="2009">
        <v>865</v>
      </c>
      <c r="F1850" s="2009">
        <v>391</v>
      </c>
      <c r="G1850" s="2010">
        <f t="shared" si="329"/>
        <v>0.45202312138728323</v>
      </c>
    </row>
    <row r="1851" spans="1:7" ht="17.100000000000001" hidden="1" customHeight="1">
      <c r="A1851" s="548"/>
      <c r="B1851" s="746"/>
      <c r="C1851" s="2049" t="s">
        <v>676</v>
      </c>
      <c r="D1851" s="2050" t="s">
        <v>501</v>
      </c>
      <c r="E1851" s="2015"/>
      <c r="F1851" s="2015"/>
      <c r="G1851" s="2016" t="e">
        <f t="shared" si="329"/>
        <v>#DIV/0!</v>
      </c>
    </row>
    <row r="1852" spans="1:7" ht="17.100000000000001" hidden="1" customHeight="1" thickBot="1">
      <c r="A1852" s="548"/>
      <c r="B1852" s="559" t="s">
        <v>196</v>
      </c>
      <c r="C1852" s="560"/>
      <c r="D1852" s="561" t="s">
        <v>868</v>
      </c>
      <c r="E1852" s="576">
        <f>E1853+E1857</f>
        <v>350000</v>
      </c>
      <c r="F1852" s="576">
        <f>F1853+F1857</f>
        <v>0</v>
      </c>
      <c r="G1852" s="1536">
        <f t="shared" si="329"/>
        <v>0</v>
      </c>
    </row>
    <row r="1853" spans="1:7" ht="17.100000000000001" hidden="1" customHeight="1">
      <c r="A1853" s="548"/>
      <c r="B1853" s="575"/>
      <c r="C1853" s="2815" t="s">
        <v>470</v>
      </c>
      <c r="D1853" s="2815"/>
      <c r="E1853" s="635">
        <f t="shared" ref="E1853:F1853" si="330">E1854</f>
        <v>350000</v>
      </c>
      <c r="F1853" s="635">
        <f t="shared" si="330"/>
        <v>0</v>
      </c>
      <c r="G1853" s="1810">
        <f t="shared" si="329"/>
        <v>0</v>
      </c>
    </row>
    <row r="1854" spans="1:7" ht="17.100000000000001" hidden="1" customHeight="1">
      <c r="A1854" s="548"/>
      <c r="B1854" s="575"/>
      <c r="C1854" s="3028" t="s">
        <v>872</v>
      </c>
      <c r="D1854" s="3029"/>
      <c r="E1854" s="2047">
        <f>E1855</f>
        <v>350000</v>
      </c>
      <c r="F1854" s="2047">
        <f>F1855</f>
        <v>0</v>
      </c>
      <c r="G1854" s="1497">
        <f t="shared" si="329"/>
        <v>0</v>
      </c>
    </row>
    <row r="1855" spans="1:7" ht="32.25" hidden="1" customHeight="1" thickBot="1">
      <c r="A1855" s="548"/>
      <c r="B1855" s="575"/>
      <c r="C1855" s="2129" t="s">
        <v>277</v>
      </c>
      <c r="D1855" s="2130" t="s">
        <v>657</v>
      </c>
      <c r="E1855" s="1860">
        <v>350000</v>
      </c>
      <c r="F1855" s="1860">
        <v>0</v>
      </c>
      <c r="G1855" s="1497">
        <f t="shared" si="329"/>
        <v>0</v>
      </c>
    </row>
    <row r="1856" spans="1:7" ht="17.100000000000001" hidden="1" customHeight="1">
      <c r="A1856" s="548"/>
      <c r="B1856" s="575"/>
      <c r="C1856" s="2131"/>
      <c r="D1856" s="2132"/>
      <c r="E1856" s="581"/>
      <c r="F1856" s="581"/>
      <c r="G1856" s="1586"/>
    </row>
    <row r="1857" spans="1:7" ht="17.100000000000001" hidden="1" customHeight="1">
      <c r="A1857" s="548"/>
      <c r="B1857" s="2771"/>
      <c r="C1857" s="2853" t="s">
        <v>523</v>
      </c>
      <c r="D1857" s="2853"/>
      <c r="E1857" s="635">
        <f>E1858</f>
        <v>0</v>
      </c>
      <c r="F1857" s="635">
        <f t="shared" ref="F1857:F1858" si="331">F1858</f>
        <v>0</v>
      </c>
      <c r="G1857" s="2064" t="e">
        <f t="shared" si="329"/>
        <v>#DIV/0!</v>
      </c>
    </row>
    <row r="1858" spans="1:7" ht="17.100000000000001" hidden="1" customHeight="1">
      <c r="A1858" s="548"/>
      <c r="B1858" s="2771"/>
      <c r="C1858" s="2999" t="s">
        <v>524</v>
      </c>
      <c r="D1858" s="2987"/>
      <c r="E1858" s="2009">
        <f>E1859</f>
        <v>0</v>
      </c>
      <c r="F1858" s="2009">
        <f t="shared" si="331"/>
        <v>0</v>
      </c>
      <c r="G1858" s="2010" t="e">
        <f t="shared" si="329"/>
        <v>#DIV/0!</v>
      </c>
    </row>
    <row r="1859" spans="1:7" ht="41.25" hidden="1" customHeight="1" thickBot="1">
      <c r="A1859" s="548"/>
      <c r="B1859" s="2771"/>
      <c r="C1859" s="2049" t="s">
        <v>642</v>
      </c>
      <c r="D1859" s="2050" t="s">
        <v>643</v>
      </c>
      <c r="E1859" s="2015"/>
      <c r="F1859" s="2015"/>
      <c r="G1859" s="2016" t="e">
        <f t="shared" si="329"/>
        <v>#DIV/0!</v>
      </c>
    </row>
    <row r="1860" spans="1:7" ht="18" customHeight="1" thickBot="1">
      <c r="A1860" s="545" t="s">
        <v>158</v>
      </c>
      <c r="B1860" s="565"/>
      <c r="C1860" s="566"/>
      <c r="D1860" s="567" t="s">
        <v>869</v>
      </c>
      <c r="E1860" s="568">
        <f>E1861+E1867+E1917+E1946+E1886</f>
        <v>5855560</v>
      </c>
      <c r="F1860" s="568">
        <f>F1861+F1867+F1917+F1946+F1886</f>
        <v>7944118</v>
      </c>
      <c r="G1860" s="1499">
        <f t="shared" si="329"/>
        <v>1.3566794636209005</v>
      </c>
    </row>
    <row r="1861" spans="1:7" ht="18" customHeight="1" thickBot="1">
      <c r="A1861" s="548"/>
      <c r="B1861" s="559" t="s">
        <v>870</v>
      </c>
      <c r="C1861" s="560"/>
      <c r="D1861" s="561" t="s">
        <v>871</v>
      </c>
      <c r="E1861" s="562">
        <f t="shared" ref="E1861:F1861" si="332">E1862</f>
        <v>3570</v>
      </c>
      <c r="F1861" s="562">
        <f t="shared" si="332"/>
        <v>3641</v>
      </c>
      <c r="G1861" s="1478">
        <f t="shared" si="329"/>
        <v>1.0198879551820728</v>
      </c>
    </row>
    <row r="1862" spans="1:7" ht="15.75" customHeight="1">
      <c r="A1862" s="548"/>
      <c r="B1862" s="746"/>
      <c r="C1862" s="2853" t="s">
        <v>470</v>
      </c>
      <c r="D1862" s="2853"/>
      <c r="E1862" s="549">
        <f t="shared" ref="E1862:F1863" si="333">SUM(E1863)</f>
        <v>3570</v>
      </c>
      <c r="F1862" s="549">
        <f t="shared" si="333"/>
        <v>3641</v>
      </c>
      <c r="G1862" s="1424">
        <f t="shared" si="329"/>
        <v>1.0198879551820728</v>
      </c>
    </row>
    <row r="1863" spans="1:7" ht="15.75" customHeight="1">
      <c r="A1863" s="548"/>
      <c r="B1863" s="746"/>
      <c r="C1863" s="3019" t="s">
        <v>471</v>
      </c>
      <c r="D1863" s="3019"/>
      <c r="E1863" s="2009">
        <f t="shared" si="333"/>
        <v>3570</v>
      </c>
      <c r="F1863" s="2009">
        <f t="shared" si="333"/>
        <v>3641</v>
      </c>
      <c r="G1863" s="2010">
        <f t="shared" si="329"/>
        <v>1.0198879551820728</v>
      </c>
    </row>
    <row r="1864" spans="1:7" ht="15.75" customHeight="1">
      <c r="A1864" s="548"/>
      <c r="B1864" s="746"/>
      <c r="C1864" s="3001" t="s">
        <v>483</v>
      </c>
      <c r="D1864" s="3001"/>
      <c r="E1864" s="2009">
        <f t="shared" ref="E1864:F1864" si="334">SUM(E1865:E1866)</f>
        <v>3570</v>
      </c>
      <c r="F1864" s="2009">
        <f t="shared" si="334"/>
        <v>3641</v>
      </c>
      <c r="G1864" s="2010">
        <f t="shared" si="329"/>
        <v>1.0198879551820728</v>
      </c>
    </row>
    <row r="1865" spans="1:7" ht="15.75" customHeight="1">
      <c r="A1865" s="548"/>
      <c r="B1865" s="746"/>
      <c r="C1865" s="2049" t="s">
        <v>486</v>
      </c>
      <c r="D1865" s="2050" t="s">
        <v>487</v>
      </c>
      <c r="E1865" s="2009">
        <v>1070</v>
      </c>
      <c r="F1865" s="2009">
        <v>1509</v>
      </c>
      <c r="G1865" s="2010">
        <f t="shared" si="329"/>
        <v>1.4102803738317757</v>
      </c>
    </row>
    <row r="1866" spans="1:7" ht="15.75" customHeight="1" thickBot="1">
      <c r="A1866" s="548"/>
      <c r="B1866" s="746"/>
      <c r="C1866" s="2101" t="s">
        <v>496</v>
      </c>
      <c r="D1866" s="2044" t="s">
        <v>497</v>
      </c>
      <c r="E1866" s="2015">
        <v>2500</v>
      </c>
      <c r="F1866" s="2015">
        <v>2132</v>
      </c>
      <c r="G1866" s="2016">
        <f t="shared" si="329"/>
        <v>0.8528</v>
      </c>
    </row>
    <row r="1867" spans="1:7" ht="15" customHeight="1" thickBot="1">
      <c r="A1867" s="548"/>
      <c r="B1867" s="559" t="s">
        <v>159</v>
      </c>
      <c r="C1867" s="587"/>
      <c r="D1867" s="561" t="s">
        <v>425</v>
      </c>
      <c r="E1867" s="562">
        <f>E1868</f>
        <v>1370349</v>
      </c>
      <c r="F1867" s="562">
        <f t="shared" ref="F1867" si="335">F1868</f>
        <v>90000</v>
      </c>
      <c r="G1867" s="1478">
        <f t="shared" si="329"/>
        <v>6.5676699877184566E-2</v>
      </c>
    </row>
    <row r="1868" spans="1:7" ht="12.75" customHeight="1">
      <c r="A1868" s="548"/>
      <c r="B1868" s="746"/>
      <c r="C1868" s="2853" t="s">
        <v>470</v>
      </c>
      <c r="D1868" s="2853"/>
      <c r="E1868" s="549">
        <f>SUM(E1872,E1869)</f>
        <v>1370349</v>
      </c>
      <c r="F1868" s="549">
        <f t="shared" ref="F1868" si="336">SUM(F1872,F1869)</f>
        <v>90000</v>
      </c>
      <c r="G1868" s="1424">
        <f t="shared" si="329"/>
        <v>6.5676699877184566E-2</v>
      </c>
    </row>
    <row r="1869" spans="1:7" ht="16.5" customHeight="1">
      <c r="A1869" s="548"/>
      <c r="B1869" s="746"/>
      <c r="C1869" s="3035" t="s">
        <v>872</v>
      </c>
      <c r="D1869" s="3036"/>
      <c r="E1869" s="2009">
        <f t="shared" ref="E1869:F1869" si="337">SUM(E1870)</f>
        <v>90000</v>
      </c>
      <c r="F1869" s="2009">
        <f t="shared" si="337"/>
        <v>90000</v>
      </c>
      <c r="G1869" s="2010">
        <f t="shared" si="329"/>
        <v>1</v>
      </c>
    </row>
    <row r="1870" spans="1:7" ht="51.75" customHeight="1" thickBot="1">
      <c r="A1870" s="548"/>
      <c r="B1870" s="746"/>
      <c r="C1870" s="2049" t="s">
        <v>582</v>
      </c>
      <c r="D1870" s="2050" t="s">
        <v>583</v>
      </c>
      <c r="E1870" s="2133">
        <v>90000</v>
      </c>
      <c r="F1870" s="2133">
        <v>90000</v>
      </c>
      <c r="G1870" s="2134">
        <f t="shared" si="329"/>
        <v>1</v>
      </c>
    </row>
    <row r="1871" spans="1:7" ht="13.5" hidden="1" thickBot="1">
      <c r="A1871" s="548"/>
      <c r="B1871" s="746"/>
      <c r="C1871" s="2135"/>
      <c r="D1871" s="2135"/>
      <c r="E1871" s="2136"/>
      <c r="F1871" s="2136"/>
      <c r="G1871" s="2137"/>
    </row>
    <row r="1872" spans="1:7" ht="19.5" hidden="1" customHeight="1">
      <c r="A1872" s="548"/>
      <c r="B1872" s="746"/>
      <c r="C1872" s="3000" t="s">
        <v>536</v>
      </c>
      <c r="D1872" s="3000"/>
      <c r="E1872" s="2015">
        <f>SUM(E1873:E1885)</f>
        <v>1280349</v>
      </c>
      <c r="F1872" s="2015">
        <f>SUM(F1873:F1885)</f>
        <v>0</v>
      </c>
      <c r="G1872" s="2016">
        <f t="shared" si="329"/>
        <v>0</v>
      </c>
    </row>
    <row r="1873" spans="1:7" ht="51.75" hidden="1" thickBot="1">
      <c r="A1873" s="548"/>
      <c r="B1873" s="746"/>
      <c r="C1873" s="2049" t="s">
        <v>381</v>
      </c>
      <c r="D1873" s="1625" t="s">
        <v>539</v>
      </c>
      <c r="E1873" s="2015">
        <v>777878</v>
      </c>
      <c r="F1873" s="2015">
        <v>0</v>
      </c>
      <c r="G1873" s="2016">
        <f t="shared" si="329"/>
        <v>0</v>
      </c>
    </row>
    <row r="1874" spans="1:7" ht="15.75" hidden="1" customHeight="1">
      <c r="A1874" s="548"/>
      <c r="B1874" s="746"/>
      <c r="C1874" s="2049" t="s">
        <v>596</v>
      </c>
      <c r="D1874" s="2050" t="s">
        <v>474</v>
      </c>
      <c r="E1874" s="2015">
        <v>91918</v>
      </c>
      <c r="F1874" s="2015">
        <v>0</v>
      </c>
      <c r="G1874" s="2016">
        <f t="shared" si="329"/>
        <v>0</v>
      </c>
    </row>
    <row r="1875" spans="1:7" ht="15.75" hidden="1" customHeight="1">
      <c r="A1875" s="548"/>
      <c r="B1875" s="746"/>
      <c r="C1875" s="2049" t="s">
        <v>541</v>
      </c>
      <c r="D1875" s="2050" t="s">
        <v>474</v>
      </c>
      <c r="E1875" s="2015">
        <v>0</v>
      </c>
      <c r="F1875" s="2015">
        <v>0</v>
      </c>
      <c r="G1875" s="2016" t="e">
        <f t="shared" si="329"/>
        <v>#DIV/0!</v>
      </c>
    </row>
    <row r="1876" spans="1:7" ht="15.75" hidden="1" customHeight="1">
      <c r="A1876" s="548"/>
      <c r="B1876" s="746"/>
      <c r="C1876" s="2049" t="s">
        <v>597</v>
      </c>
      <c r="D1876" s="2050" t="s">
        <v>476</v>
      </c>
      <c r="E1876" s="2015">
        <v>3918</v>
      </c>
      <c r="F1876" s="2015">
        <v>0</v>
      </c>
      <c r="G1876" s="2016">
        <f t="shared" si="329"/>
        <v>0</v>
      </c>
    </row>
    <row r="1877" spans="1:7" ht="15.75" hidden="1" customHeight="1">
      <c r="A1877" s="548"/>
      <c r="B1877" s="746"/>
      <c r="C1877" s="2049" t="s">
        <v>543</v>
      </c>
      <c r="D1877" s="2050" t="s">
        <v>476</v>
      </c>
      <c r="E1877" s="2015">
        <v>8343</v>
      </c>
      <c r="F1877" s="2015">
        <v>0</v>
      </c>
      <c r="G1877" s="2016">
        <f t="shared" si="329"/>
        <v>0</v>
      </c>
    </row>
    <row r="1878" spans="1:7" ht="15.75" hidden="1" customHeight="1">
      <c r="A1878" s="548"/>
      <c r="B1878" s="746"/>
      <c r="C1878" s="2049" t="s">
        <v>598</v>
      </c>
      <c r="D1878" s="2050" t="s">
        <v>478</v>
      </c>
      <c r="E1878" s="2015">
        <v>18777</v>
      </c>
      <c r="F1878" s="2015">
        <v>0</v>
      </c>
      <c r="G1878" s="2016">
        <f t="shared" si="329"/>
        <v>0</v>
      </c>
    </row>
    <row r="1879" spans="1:7" ht="15.75" hidden="1" customHeight="1">
      <c r="A1879" s="548"/>
      <c r="B1879" s="746"/>
      <c r="C1879" s="2049" t="s">
        <v>545</v>
      </c>
      <c r="D1879" s="2050" t="s">
        <v>478</v>
      </c>
      <c r="E1879" s="2015">
        <v>1413</v>
      </c>
      <c r="F1879" s="2015">
        <v>0</v>
      </c>
      <c r="G1879" s="2016">
        <f t="shared" si="329"/>
        <v>0</v>
      </c>
    </row>
    <row r="1880" spans="1:7" ht="27.75" hidden="1" customHeight="1">
      <c r="A1880" s="548"/>
      <c r="B1880" s="746"/>
      <c r="C1880" s="2049" t="s">
        <v>599</v>
      </c>
      <c r="D1880" s="2050" t="s">
        <v>1028</v>
      </c>
      <c r="E1880" s="2015">
        <v>5607</v>
      </c>
      <c r="F1880" s="2015">
        <v>0</v>
      </c>
      <c r="G1880" s="2016">
        <f t="shared" si="329"/>
        <v>0</v>
      </c>
    </row>
    <row r="1881" spans="1:7" ht="27" hidden="1" customHeight="1">
      <c r="A1881" s="548"/>
      <c r="B1881" s="746"/>
      <c r="C1881" s="2049" t="s">
        <v>547</v>
      </c>
      <c r="D1881" s="2050" t="s">
        <v>1028</v>
      </c>
      <c r="E1881" s="2015">
        <v>91</v>
      </c>
      <c r="F1881" s="2015">
        <v>0</v>
      </c>
      <c r="G1881" s="2016">
        <f t="shared" si="329"/>
        <v>0</v>
      </c>
    </row>
    <row r="1882" spans="1:7" ht="15.75" hidden="1" customHeight="1">
      <c r="A1882" s="548"/>
      <c r="B1882" s="746"/>
      <c r="C1882" s="2049" t="s">
        <v>600</v>
      </c>
      <c r="D1882" s="2050" t="s">
        <v>487</v>
      </c>
      <c r="E1882" s="2015">
        <v>3137</v>
      </c>
      <c r="F1882" s="2015">
        <v>0</v>
      </c>
      <c r="G1882" s="2016">
        <f t="shared" si="329"/>
        <v>0</v>
      </c>
    </row>
    <row r="1883" spans="1:7" ht="15.75" hidden="1" customHeight="1">
      <c r="A1883" s="548"/>
      <c r="B1883" s="746"/>
      <c r="C1883" s="2049" t="s">
        <v>601</v>
      </c>
      <c r="D1883" s="2050" t="s">
        <v>497</v>
      </c>
      <c r="E1883" s="2015">
        <v>267773</v>
      </c>
      <c r="F1883" s="2015">
        <v>0</v>
      </c>
      <c r="G1883" s="2016">
        <f t="shared" si="329"/>
        <v>0</v>
      </c>
    </row>
    <row r="1884" spans="1:7" ht="15" hidden="1" customHeight="1">
      <c r="A1884" s="548"/>
      <c r="B1884" s="746"/>
      <c r="C1884" s="2043" t="s">
        <v>558</v>
      </c>
      <c r="D1884" s="2044" t="s">
        <v>497</v>
      </c>
      <c r="E1884" s="2015">
        <v>100363</v>
      </c>
      <c r="F1884" s="2015">
        <v>0</v>
      </c>
      <c r="G1884" s="2016">
        <f t="shared" si="329"/>
        <v>0</v>
      </c>
    </row>
    <row r="1885" spans="1:7" ht="15" hidden="1" customHeight="1" thickBot="1">
      <c r="A1885" s="548"/>
      <c r="B1885" s="746"/>
      <c r="C1885" s="586" t="s">
        <v>847</v>
      </c>
      <c r="D1885" s="1541" t="s">
        <v>509</v>
      </c>
      <c r="E1885" s="552">
        <v>1131</v>
      </c>
      <c r="F1885" s="552">
        <v>0</v>
      </c>
      <c r="G1885" s="1445">
        <f t="shared" si="329"/>
        <v>0</v>
      </c>
    </row>
    <row r="1886" spans="1:7" ht="15" customHeight="1" thickBot="1">
      <c r="A1886" s="548"/>
      <c r="B1886" s="559" t="s">
        <v>1064</v>
      </c>
      <c r="C1886" s="587"/>
      <c r="D1886" s="561" t="s">
        <v>1065</v>
      </c>
      <c r="E1886" s="562">
        <f>E1887+E1907</f>
        <v>796392</v>
      </c>
      <c r="F1886" s="562">
        <f>F1887+F1907</f>
        <v>3914391</v>
      </c>
      <c r="G1886" s="2138">
        <f t="shared" si="329"/>
        <v>4.9151561040291716</v>
      </c>
    </row>
    <row r="1887" spans="1:7" ht="15" customHeight="1">
      <c r="A1887" s="548"/>
      <c r="B1887" s="746"/>
      <c r="C1887" s="2853" t="s">
        <v>470</v>
      </c>
      <c r="D1887" s="2853"/>
      <c r="E1887" s="551">
        <f>E1888</f>
        <v>681391</v>
      </c>
      <c r="F1887" s="551">
        <f>F1888</f>
        <v>2419390</v>
      </c>
      <c r="G1887" s="2139">
        <f>F1887/E1887</f>
        <v>3.5506632755642502</v>
      </c>
    </row>
    <row r="1888" spans="1:7" ht="15" customHeight="1">
      <c r="A1888" s="548"/>
      <c r="B1888" s="746"/>
      <c r="C1888" s="3000" t="s">
        <v>536</v>
      </c>
      <c r="D1888" s="3000"/>
      <c r="E1888" s="2009">
        <f>SUM(E1889:E1905)</f>
        <v>681391</v>
      </c>
      <c r="F1888" s="2009">
        <f>SUM(F1889:F1905)</f>
        <v>2419390</v>
      </c>
      <c r="G1888" s="2010">
        <f t="shared" ref="G1888:G1916" si="338">F1888/E1888</f>
        <v>3.5506632755642502</v>
      </c>
    </row>
    <row r="1889" spans="1:7" ht="55.5" customHeight="1">
      <c r="A1889" s="548"/>
      <c r="B1889" s="746"/>
      <c r="C1889" s="2049" t="s">
        <v>381</v>
      </c>
      <c r="D1889" s="1625" t="s">
        <v>539</v>
      </c>
      <c r="E1889" s="564">
        <v>230000</v>
      </c>
      <c r="F1889" s="564">
        <v>880000</v>
      </c>
      <c r="G1889" s="2010">
        <f t="shared" si="338"/>
        <v>3.8260869565217392</v>
      </c>
    </row>
    <row r="1890" spans="1:7" ht="16.5" customHeight="1">
      <c r="A1890" s="548"/>
      <c r="B1890" s="746"/>
      <c r="C1890" s="2049" t="s">
        <v>596</v>
      </c>
      <c r="D1890" s="2050" t="s">
        <v>474</v>
      </c>
      <c r="E1890" s="551">
        <v>120999</v>
      </c>
      <c r="F1890" s="551">
        <v>395466</v>
      </c>
      <c r="G1890" s="2010">
        <f t="shared" si="338"/>
        <v>3.2683410606699228</v>
      </c>
    </row>
    <row r="1891" spans="1:7" ht="19.5" customHeight="1">
      <c r="A1891" s="548"/>
      <c r="B1891" s="746"/>
      <c r="C1891" s="2049" t="s">
        <v>597</v>
      </c>
      <c r="D1891" s="2050" t="s">
        <v>476</v>
      </c>
      <c r="E1891" s="2009">
        <v>0</v>
      </c>
      <c r="F1891" s="2009">
        <v>9173</v>
      </c>
      <c r="G1891" s="2010"/>
    </row>
    <row r="1892" spans="1:7" ht="19.5" customHeight="1">
      <c r="A1892" s="548"/>
      <c r="B1892" s="746"/>
      <c r="C1892" s="2049" t="s">
        <v>598</v>
      </c>
      <c r="D1892" s="2050" t="s">
        <v>478</v>
      </c>
      <c r="E1892" s="551">
        <v>20485</v>
      </c>
      <c r="F1892" s="551">
        <v>68505</v>
      </c>
      <c r="G1892" s="2010">
        <f t="shared" si="338"/>
        <v>3.3441542592140592</v>
      </c>
    </row>
    <row r="1893" spans="1:7" ht="26.25" customHeight="1">
      <c r="A1893" s="548"/>
      <c r="B1893" s="746"/>
      <c r="C1893" s="2049" t="s">
        <v>599</v>
      </c>
      <c r="D1893" s="2050" t="s">
        <v>1028</v>
      </c>
      <c r="E1893" s="2009">
        <v>2965</v>
      </c>
      <c r="F1893" s="2009">
        <v>9914</v>
      </c>
      <c r="G1893" s="2010">
        <f t="shared" si="338"/>
        <v>3.3436762225969647</v>
      </c>
    </row>
    <row r="1894" spans="1:7" ht="18.75" customHeight="1">
      <c r="A1894" s="548"/>
      <c r="B1894" s="746"/>
      <c r="C1894" s="2049" t="s">
        <v>673</v>
      </c>
      <c r="D1894" s="2050" t="s">
        <v>482</v>
      </c>
      <c r="E1894" s="551">
        <v>0</v>
      </c>
      <c r="F1894" s="551">
        <v>297600</v>
      </c>
      <c r="G1894" s="2010"/>
    </row>
    <row r="1895" spans="1:7" ht="18" customHeight="1">
      <c r="A1895" s="548"/>
      <c r="B1895" s="746"/>
      <c r="C1895" s="2049" t="s">
        <v>600</v>
      </c>
      <c r="D1895" s="2050" t="s">
        <v>487</v>
      </c>
      <c r="E1895" s="2009">
        <v>0</v>
      </c>
      <c r="F1895" s="2009">
        <v>64291</v>
      </c>
      <c r="G1895" s="2010"/>
    </row>
    <row r="1896" spans="1:7" ht="1.5" hidden="1" customHeight="1">
      <c r="A1896" s="548"/>
      <c r="B1896" s="746"/>
      <c r="C1896" s="2049" t="s">
        <v>780</v>
      </c>
      <c r="D1896" s="2050" t="s">
        <v>664</v>
      </c>
      <c r="E1896" s="551">
        <v>752</v>
      </c>
      <c r="F1896" s="551">
        <v>0</v>
      </c>
      <c r="G1896" s="2010">
        <f t="shared" si="338"/>
        <v>0</v>
      </c>
    </row>
    <row r="1897" spans="1:7" ht="18.75" customHeight="1">
      <c r="A1897" s="548"/>
      <c r="B1897" s="746"/>
      <c r="C1897" s="555" t="s">
        <v>786</v>
      </c>
      <c r="D1897" s="1456" t="s">
        <v>491</v>
      </c>
      <c r="E1897" s="2009">
        <v>0</v>
      </c>
      <c r="F1897" s="2009">
        <v>3500</v>
      </c>
      <c r="G1897" s="2010"/>
    </row>
    <row r="1898" spans="1:7" ht="18" customHeight="1">
      <c r="A1898" s="548"/>
      <c r="B1898" s="746"/>
      <c r="C1898" s="2116" t="s">
        <v>844</v>
      </c>
      <c r="D1898" s="2088" t="s">
        <v>495</v>
      </c>
      <c r="E1898" s="564">
        <v>0</v>
      </c>
      <c r="F1898" s="564">
        <v>1800</v>
      </c>
      <c r="G1898" s="2010"/>
    </row>
    <row r="1899" spans="1:7" ht="18" customHeight="1">
      <c r="A1899" s="548"/>
      <c r="B1899" s="746"/>
      <c r="C1899" s="555" t="s">
        <v>601</v>
      </c>
      <c r="D1899" s="2088" t="s">
        <v>497</v>
      </c>
      <c r="E1899" s="551">
        <v>226419</v>
      </c>
      <c r="F1899" s="551">
        <v>406721</v>
      </c>
      <c r="G1899" s="2010">
        <f t="shared" si="338"/>
        <v>1.7963200968116633</v>
      </c>
    </row>
    <row r="1900" spans="1:7" ht="18.75" customHeight="1">
      <c r="A1900" s="548"/>
      <c r="B1900" s="746"/>
      <c r="C1900" s="2116" t="s">
        <v>558</v>
      </c>
      <c r="D1900" s="2088" t="s">
        <v>497</v>
      </c>
      <c r="E1900" s="2009">
        <v>71726</v>
      </c>
      <c r="F1900" s="2009">
        <v>254673</v>
      </c>
      <c r="G1900" s="2010">
        <f t="shared" si="338"/>
        <v>3.550637146920224</v>
      </c>
    </row>
    <row r="1901" spans="1:7" ht="20.25" customHeight="1">
      <c r="A1901" s="548"/>
      <c r="B1901" s="746"/>
      <c r="C1901" s="555" t="s">
        <v>790</v>
      </c>
      <c r="D1901" s="1456" t="s">
        <v>499</v>
      </c>
      <c r="E1901" s="551">
        <v>0</v>
      </c>
      <c r="F1901" s="551">
        <v>3000</v>
      </c>
      <c r="G1901" s="2010"/>
    </row>
    <row r="1902" spans="1:7" ht="19.5" customHeight="1">
      <c r="A1902" s="548"/>
      <c r="B1902" s="746"/>
      <c r="C1902" s="2116" t="s">
        <v>602</v>
      </c>
      <c r="D1902" s="2117" t="s">
        <v>505</v>
      </c>
      <c r="E1902" s="2009">
        <v>2818</v>
      </c>
      <c r="F1902" s="2009">
        <v>15246</v>
      </c>
      <c r="G1902" s="2010">
        <f t="shared" si="338"/>
        <v>5.4102200141944641</v>
      </c>
    </row>
    <row r="1903" spans="1:7" ht="20.25" customHeight="1">
      <c r="A1903" s="548"/>
      <c r="B1903" s="746"/>
      <c r="C1903" s="555" t="s">
        <v>846</v>
      </c>
      <c r="D1903" s="1456" t="s">
        <v>509</v>
      </c>
      <c r="E1903" s="551">
        <v>5227</v>
      </c>
      <c r="F1903" s="551">
        <v>7501</v>
      </c>
      <c r="G1903" s="2010">
        <f t="shared" si="338"/>
        <v>1.4350487851540081</v>
      </c>
    </row>
    <row r="1904" spans="1:7" ht="19.5" customHeight="1">
      <c r="A1904" s="548"/>
      <c r="B1904" s="746"/>
      <c r="C1904" s="2116" t="s">
        <v>848</v>
      </c>
      <c r="D1904" s="2117" t="s">
        <v>511</v>
      </c>
      <c r="E1904" s="2009">
        <v>0</v>
      </c>
      <c r="F1904" s="2009">
        <v>1000</v>
      </c>
      <c r="G1904" s="2010"/>
    </row>
    <row r="1905" spans="1:7" ht="18.75" customHeight="1">
      <c r="A1905" s="548"/>
      <c r="B1905" s="746"/>
      <c r="C1905" s="555" t="s">
        <v>850</v>
      </c>
      <c r="D1905" s="1456" t="s">
        <v>515</v>
      </c>
      <c r="E1905" s="551">
        <v>0</v>
      </c>
      <c r="F1905" s="551">
        <v>1000</v>
      </c>
      <c r="G1905" s="2010"/>
    </row>
    <row r="1906" spans="1:7" ht="15" customHeight="1">
      <c r="A1906" s="548"/>
      <c r="B1906" s="746"/>
      <c r="C1906" s="3023"/>
      <c r="D1906" s="3024"/>
      <c r="E1906" s="2009"/>
      <c r="F1906" s="2009"/>
      <c r="G1906" s="2010"/>
    </row>
    <row r="1907" spans="1:7" ht="15" customHeight="1">
      <c r="A1907" s="548"/>
      <c r="B1907" s="746"/>
      <c r="C1907" s="2988" t="s">
        <v>523</v>
      </c>
      <c r="D1907" s="2988"/>
      <c r="E1907" s="551">
        <f>E1908</f>
        <v>115001</v>
      </c>
      <c r="F1907" s="551">
        <f>F1908</f>
        <v>1495001</v>
      </c>
      <c r="G1907" s="2010">
        <f t="shared" si="338"/>
        <v>12.999895653081278</v>
      </c>
    </row>
    <row r="1908" spans="1:7" ht="18" customHeight="1">
      <c r="A1908" s="548"/>
      <c r="B1908" s="746"/>
      <c r="C1908" s="2999" t="s">
        <v>524</v>
      </c>
      <c r="D1908" s="2999"/>
      <c r="E1908" s="2009">
        <f>SUM(E1909:E1911)</f>
        <v>115001</v>
      </c>
      <c r="F1908" s="2009">
        <f>SUM(F1909:F1911)</f>
        <v>1495001</v>
      </c>
      <c r="G1908" s="2010">
        <f t="shared" si="338"/>
        <v>12.999895653081278</v>
      </c>
    </row>
    <row r="1909" spans="1:7" ht="16.5" customHeight="1">
      <c r="A1909" s="548"/>
      <c r="B1909" s="746"/>
      <c r="C1909" s="2049" t="s">
        <v>625</v>
      </c>
      <c r="D1909" s="2050" t="s">
        <v>526</v>
      </c>
      <c r="E1909" s="551">
        <v>85000</v>
      </c>
      <c r="F1909" s="551">
        <v>1105000</v>
      </c>
      <c r="G1909" s="2010">
        <f t="shared" si="338"/>
        <v>13</v>
      </c>
    </row>
    <row r="1910" spans="1:7" ht="18.75" customHeight="1">
      <c r="A1910" s="548"/>
      <c r="B1910" s="746"/>
      <c r="C1910" s="2049" t="s">
        <v>604</v>
      </c>
      <c r="D1910" s="2050" t="s">
        <v>571</v>
      </c>
      <c r="E1910" s="2009">
        <v>17895</v>
      </c>
      <c r="F1910" s="2009">
        <v>232632</v>
      </c>
      <c r="G1910" s="2010">
        <f t="shared" si="338"/>
        <v>12.999832355406538</v>
      </c>
    </row>
    <row r="1911" spans="1:7" ht="16.5" customHeight="1">
      <c r="A1911" s="548"/>
      <c r="B1911" s="746"/>
      <c r="C1911" s="2049" t="s">
        <v>623</v>
      </c>
      <c r="D1911" s="2050" t="s">
        <v>571</v>
      </c>
      <c r="E1911" s="551">
        <v>12106</v>
      </c>
      <c r="F1911" s="551">
        <v>157369</v>
      </c>
      <c r="G1911" s="2010">
        <f t="shared" si="338"/>
        <v>12.999256566991575</v>
      </c>
    </row>
    <row r="1912" spans="1:7" ht="15" customHeight="1">
      <c r="A1912" s="548"/>
      <c r="B1912" s="746"/>
      <c r="C1912" s="3031"/>
      <c r="D1912" s="3032"/>
      <c r="E1912" s="2015"/>
      <c r="F1912" s="2015"/>
      <c r="G1912" s="2010"/>
    </row>
    <row r="1913" spans="1:7" ht="16.5" customHeight="1">
      <c r="A1913" s="548"/>
      <c r="B1913" s="746"/>
      <c r="C1913" s="3033" t="s">
        <v>534</v>
      </c>
      <c r="D1913" s="3034"/>
      <c r="E1913" s="2009">
        <f>SUM(E1914:E1916)</f>
        <v>115001</v>
      </c>
      <c r="F1913" s="2009">
        <f>SUM(F1914:F1916)</f>
        <v>1495001</v>
      </c>
      <c r="G1913" s="2010">
        <f t="shared" si="338"/>
        <v>12.999895653081278</v>
      </c>
    </row>
    <row r="1914" spans="1:7" ht="18.75" customHeight="1">
      <c r="A1914" s="548"/>
      <c r="B1914" s="746"/>
      <c r="C1914" s="2116" t="s">
        <v>625</v>
      </c>
      <c r="D1914" s="2117" t="s">
        <v>526</v>
      </c>
      <c r="E1914" s="2009">
        <v>85000</v>
      </c>
      <c r="F1914" s="2009">
        <v>1105000</v>
      </c>
      <c r="G1914" s="2010">
        <f t="shared" si="338"/>
        <v>13</v>
      </c>
    </row>
    <row r="1915" spans="1:7" ht="18" customHeight="1">
      <c r="A1915" s="548"/>
      <c r="B1915" s="746"/>
      <c r="C1915" s="555" t="s">
        <v>604</v>
      </c>
      <c r="D1915" s="1456" t="s">
        <v>571</v>
      </c>
      <c r="E1915" s="551">
        <v>17895</v>
      </c>
      <c r="F1915" s="551">
        <v>232632</v>
      </c>
      <c r="G1915" s="2010">
        <f t="shared" si="338"/>
        <v>12.999832355406538</v>
      </c>
    </row>
    <row r="1916" spans="1:7" ht="17.25" customHeight="1" thickBot="1">
      <c r="A1916" s="548"/>
      <c r="B1916" s="746"/>
      <c r="C1916" s="586" t="s">
        <v>623</v>
      </c>
      <c r="D1916" s="1541" t="s">
        <v>571</v>
      </c>
      <c r="E1916" s="552">
        <v>12106</v>
      </c>
      <c r="F1916" s="552">
        <v>157369</v>
      </c>
      <c r="G1916" s="1445">
        <f t="shared" si="338"/>
        <v>12.999256566991575</v>
      </c>
    </row>
    <row r="1917" spans="1:7" ht="15.75" customHeight="1" thickBot="1">
      <c r="A1917" s="548"/>
      <c r="B1917" s="559" t="s">
        <v>873</v>
      </c>
      <c r="C1917" s="560"/>
      <c r="D1917" s="561" t="s">
        <v>429</v>
      </c>
      <c r="E1917" s="562">
        <f t="shared" ref="E1917:F1917" si="339">E1918</f>
        <v>923890</v>
      </c>
      <c r="F1917" s="562">
        <f t="shared" si="339"/>
        <v>822000</v>
      </c>
      <c r="G1917" s="2036">
        <f t="shared" si="329"/>
        <v>0.88971630821851089</v>
      </c>
    </row>
    <row r="1918" spans="1:7" ht="15.75" customHeight="1">
      <c r="A1918" s="548"/>
      <c r="B1918" s="746"/>
      <c r="C1918" s="2853" t="s">
        <v>470</v>
      </c>
      <c r="D1918" s="2853"/>
      <c r="E1918" s="549">
        <f>E1919+E1944</f>
        <v>923890</v>
      </c>
      <c r="F1918" s="549">
        <f t="shared" ref="F1918" si="340">F1919+F1944</f>
        <v>822000</v>
      </c>
      <c r="G1918" s="1424">
        <f t="shared" si="329"/>
        <v>0.88971630821851089</v>
      </c>
    </row>
    <row r="1919" spans="1:7" ht="15.75" customHeight="1">
      <c r="A1919" s="548"/>
      <c r="B1919" s="746"/>
      <c r="C1919" s="3019" t="s">
        <v>471</v>
      </c>
      <c r="D1919" s="3019"/>
      <c r="E1919" s="2009">
        <f t="shared" ref="E1919:F1919" si="341">E1920+E1927</f>
        <v>921030</v>
      </c>
      <c r="F1919" s="2009">
        <f t="shared" si="341"/>
        <v>819800</v>
      </c>
      <c r="G1919" s="2010">
        <f t="shared" si="329"/>
        <v>0.89009044222229461</v>
      </c>
    </row>
    <row r="1920" spans="1:7" ht="15.75" customHeight="1">
      <c r="A1920" s="548"/>
      <c r="B1920" s="746"/>
      <c r="C1920" s="3030" t="s">
        <v>472</v>
      </c>
      <c r="D1920" s="3030"/>
      <c r="E1920" s="2011">
        <f>SUM(E1921:E1925)</f>
        <v>781820</v>
      </c>
      <c r="F1920" s="2011">
        <f>SUM(F1921:F1925)</f>
        <v>686177</v>
      </c>
      <c r="G1920" s="2012">
        <f t="shared" si="329"/>
        <v>0.87766621472973316</v>
      </c>
    </row>
    <row r="1921" spans="1:7" ht="15.75" customHeight="1">
      <c r="A1921" s="548"/>
      <c r="B1921" s="746"/>
      <c r="C1921" s="2049" t="s">
        <v>473</v>
      </c>
      <c r="D1921" s="2050" t="s">
        <v>474</v>
      </c>
      <c r="E1921" s="2009">
        <v>584931</v>
      </c>
      <c r="F1921" s="2009">
        <v>500807</v>
      </c>
      <c r="G1921" s="2010">
        <f t="shared" si="329"/>
        <v>0.85618132737023678</v>
      </c>
    </row>
    <row r="1922" spans="1:7" ht="15.75" customHeight="1">
      <c r="A1922" s="548"/>
      <c r="B1922" s="746"/>
      <c r="C1922" s="2049" t="s">
        <v>475</v>
      </c>
      <c r="D1922" s="2050" t="s">
        <v>476</v>
      </c>
      <c r="E1922" s="2009">
        <v>73966</v>
      </c>
      <c r="F1922" s="2009">
        <v>74194</v>
      </c>
      <c r="G1922" s="2010">
        <f t="shared" si="329"/>
        <v>1.0030824973636536</v>
      </c>
    </row>
    <row r="1923" spans="1:7" ht="15.75" customHeight="1">
      <c r="A1923" s="548"/>
      <c r="B1923" s="746"/>
      <c r="C1923" s="2049" t="s">
        <v>477</v>
      </c>
      <c r="D1923" s="2050" t="s">
        <v>478</v>
      </c>
      <c r="E1923" s="2009">
        <v>109212</v>
      </c>
      <c r="F1923" s="2009">
        <v>97348</v>
      </c>
      <c r="G1923" s="2010">
        <f t="shared" si="329"/>
        <v>0.89136724902025422</v>
      </c>
    </row>
    <row r="1924" spans="1:7" ht="24.75" customHeight="1">
      <c r="A1924" s="548"/>
      <c r="B1924" s="746"/>
      <c r="C1924" s="2049" t="s">
        <v>479</v>
      </c>
      <c r="D1924" s="2050" t="s">
        <v>1028</v>
      </c>
      <c r="E1924" s="2009">
        <v>12711</v>
      </c>
      <c r="F1924" s="2009">
        <v>13828</v>
      </c>
      <c r="G1924" s="2010">
        <f t="shared" si="329"/>
        <v>1.0878766422783417</v>
      </c>
    </row>
    <row r="1925" spans="1:7" ht="15.75" hidden="1" customHeight="1">
      <c r="A1925" s="548"/>
      <c r="B1925" s="746"/>
      <c r="C1925" s="2056" t="s">
        <v>481</v>
      </c>
      <c r="D1925" s="1686" t="s">
        <v>482</v>
      </c>
      <c r="E1925" s="564">
        <v>1000</v>
      </c>
      <c r="F1925" s="564">
        <v>0</v>
      </c>
      <c r="G1925" s="1497">
        <f t="shared" si="329"/>
        <v>0</v>
      </c>
    </row>
    <row r="1926" spans="1:7" ht="15.75" customHeight="1">
      <c r="A1926" s="548"/>
      <c r="B1926" s="746"/>
      <c r="C1926" s="553"/>
      <c r="D1926" s="553"/>
      <c r="E1926" s="550"/>
      <c r="F1926" s="550"/>
      <c r="G1926" s="1433"/>
    </row>
    <row r="1927" spans="1:7" ht="15.75" customHeight="1">
      <c r="A1927" s="548"/>
      <c r="B1927" s="746"/>
      <c r="C1927" s="3001" t="s">
        <v>483</v>
      </c>
      <c r="D1927" s="3001"/>
      <c r="E1927" s="2011">
        <f>SUM(E1928:E1942)</f>
        <v>139210</v>
      </c>
      <c r="F1927" s="2011">
        <f t="shared" ref="F1927" si="342">SUM(F1928:F1942)</f>
        <v>133623</v>
      </c>
      <c r="G1927" s="2012">
        <f t="shared" si="329"/>
        <v>0.95986638890884279</v>
      </c>
    </row>
    <row r="1928" spans="1:7" ht="15.75" customHeight="1">
      <c r="A1928" s="548"/>
      <c r="B1928" s="746"/>
      <c r="C1928" s="2049" t="s">
        <v>484</v>
      </c>
      <c r="D1928" s="2050" t="s">
        <v>485</v>
      </c>
      <c r="E1928" s="2009">
        <v>2900</v>
      </c>
      <c r="F1928" s="2009">
        <v>4000</v>
      </c>
      <c r="G1928" s="2010">
        <f t="shared" si="329"/>
        <v>1.3793103448275863</v>
      </c>
    </row>
    <row r="1929" spans="1:7" ht="15.75" customHeight="1">
      <c r="A1929" s="548"/>
      <c r="B1929" s="746"/>
      <c r="C1929" s="2049" t="s">
        <v>486</v>
      </c>
      <c r="D1929" s="2050" t="s">
        <v>487</v>
      </c>
      <c r="E1929" s="2009">
        <v>23899</v>
      </c>
      <c r="F1929" s="2009">
        <v>22760</v>
      </c>
      <c r="G1929" s="2010">
        <f t="shared" si="329"/>
        <v>0.95234110213816481</v>
      </c>
    </row>
    <row r="1930" spans="1:7" ht="15.75" customHeight="1">
      <c r="A1930" s="548"/>
      <c r="B1930" s="746"/>
      <c r="C1930" s="2049" t="s">
        <v>488</v>
      </c>
      <c r="D1930" s="2050" t="s">
        <v>489</v>
      </c>
      <c r="E1930" s="2009">
        <v>5500</v>
      </c>
      <c r="F1930" s="2009">
        <v>5000</v>
      </c>
      <c r="G1930" s="2010">
        <f t="shared" si="329"/>
        <v>0.90909090909090906</v>
      </c>
    </row>
    <row r="1931" spans="1:7" ht="15.75" hidden="1" customHeight="1">
      <c r="A1931" s="548"/>
      <c r="B1931" s="746"/>
      <c r="C1931" s="2049" t="s">
        <v>663</v>
      </c>
      <c r="D1931" s="2050" t="s">
        <v>664</v>
      </c>
      <c r="E1931" s="2009">
        <v>1500</v>
      </c>
      <c r="F1931" s="2009">
        <v>0</v>
      </c>
      <c r="G1931" s="2010">
        <f t="shared" si="329"/>
        <v>0</v>
      </c>
    </row>
    <row r="1932" spans="1:7" ht="15.75" customHeight="1">
      <c r="A1932" s="548"/>
      <c r="B1932" s="746"/>
      <c r="C1932" s="2049" t="s">
        <v>490</v>
      </c>
      <c r="D1932" s="2050" t="s">
        <v>491</v>
      </c>
      <c r="E1932" s="2009">
        <v>11890</v>
      </c>
      <c r="F1932" s="2009">
        <v>12024</v>
      </c>
      <c r="G1932" s="2010">
        <f t="shared" si="329"/>
        <v>1.0112699747687133</v>
      </c>
    </row>
    <row r="1933" spans="1:7" ht="15.75" customHeight="1">
      <c r="A1933" s="548"/>
      <c r="B1933" s="746"/>
      <c r="C1933" s="2049" t="s">
        <v>492</v>
      </c>
      <c r="D1933" s="2050" t="s">
        <v>493</v>
      </c>
      <c r="E1933" s="2009">
        <v>5965</v>
      </c>
      <c r="F1933" s="2009">
        <v>3116</v>
      </c>
      <c r="G1933" s="2010">
        <f t="shared" si="329"/>
        <v>0.52238055322715837</v>
      </c>
    </row>
    <row r="1934" spans="1:7" ht="15.75" customHeight="1">
      <c r="A1934" s="548"/>
      <c r="B1934" s="746"/>
      <c r="C1934" s="2049" t="s">
        <v>494</v>
      </c>
      <c r="D1934" s="2050" t="s">
        <v>495</v>
      </c>
      <c r="E1934" s="2009">
        <v>500</v>
      </c>
      <c r="F1934" s="2009">
        <v>1000</v>
      </c>
      <c r="G1934" s="2010">
        <f t="shared" si="329"/>
        <v>2</v>
      </c>
    </row>
    <row r="1935" spans="1:7" ht="15.75" customHeight="1">
      <c r="A1935" s="548"/>
      <c r="B1935" s="746"/>
      <c r="C1935" s="2049" t="s">
        <v>496</v>
      </c>
      <c r="D1935" s="2050" t="s">
        <v>497</v>
      </c>
      <c r="E1935" s="2009">
        <v>46804</v>
      </c>
      <c r="F1935" s="2009">
        <v>46852</v>
      </c>
      <c r="G1935" s="2010">
        <f t="shared" si="329"/>
        <v>1.0010255533715067</v>
      </c>
    </row>
    <row r="1936" spans="1:7" ht="15.75" customHeight="1">
      <c r="A1936" s="548"/>
      <c r="B1936" s="2888"/>
      <c r="C1936" s="2049" t="s">
        <v>498</v>
      </c>
      <c r="D1936" s="2050" t="s">
        <v>666</v>
      </c>
      <c r="E1936" s="2009">
        <v>4536</v>
      </c>
      <c r="F1936" s="2009">
        <v>4233</v>
      </c>
      <c r="G1936" s="2010">
        <f t="shared" si="329"/>
        <v>0.93320105820105825</v>
      </c>
    </row>
    <row r="1937" spans="1:7" ht="15.75" customHeight="1">
      <c r="A1937" s="548"/>
      <c r="B1937" s="2888"/>
      <c r="C1937" s="2043" t="s">
        <v>504</v>
      </c>
      <c r="D1937" s="2044" t="s">
        <v>505</v>
      </c>
      <c r="E1937" s="2009">
        <v>4500</v>
      </c>
      <c r="F1937" s="2009">
        <v>4000</v>
      </c>
      <c r="G1937" s="2010">
        <f t="shared" si="329"/>
        <v>0.88888888888888884</v>
      </c>
    </row>
    <row r="1938" spans="1:7" ht="15.75" hidden="1" customHeight="1">
      <c r="A1938" s="548"/>
      <c r="B1938" s="2888"/>
      <c r="C1938" s="2089" t="s">
        <v>506</v>
      </c>
      <c r="D1938" s="2090" t="s">
        <v>507</v>
      </c>
      <c r="E1938" s="2009">
        <v>0</v>
      </c>
      <c r="F1938" s="2009">
        <v>0</v>
      </c>
      <c r="G1938" s="2010" t="e">
        <f t="shared" si="329"/>
        <v>#DIV/0!</v>
      </c>
    </row>
    <row r="1939" spans="1:7" ht="15.75" customHeight="1">
      <c r="A1939" s="548"/>
      <c r="B1939" s="2888"/>
      <c r="C1939" s="2140" t="s">
        <v>508</v>
      </c>
      <c r="D1939" s="2119" t="s">
        <v>509</v>
      </c>
      <c r="E1939" s="2009">
        <v>21986</v>
      </c>
      <c r="F1939" s="2009">
        <v>22029</v>
      </c>
      <c r="G1939" s="2010">
        <f t="shared" si="329"/>
        <v>1.0019557900482126</v>
      </c>
    </row>
    <row r="1940" spans="1:7" ht="15.75" customHeight="1">
      <c r="A1940" s="548"/>
      <c r="B1940" s="2888"/>
      <c r="C1940" s="2140" t="s">
        <v>510</v>
      </c>
      <c r="D1940" s="2119" t="s">
        <v>511</v>
      </c>
      <c r="E1940" s="2009">
        <v>1722</v>
      </c>
      <c r="F1940" s="2009">
        <v>3150</v>
      </c>
      <c r="G1940" s="2010">
        <f t="shared" si="329"/>
        <v>1.8292682926829269</v>
      </c>
    </row>
    <row r="1941" spans="1:7" ht="15.75" customHeight="1">
      <c r="A1941" s="548"/>
      <c r="B1941" s="2888"/>
      <c r="C1941" s="2118" t="s">
        <v>514</v>
      </c>
      <c r="D1941" s="2119" t="s">
        <v>865</v>
      </c>
      <c r="E1941" s="2009">
        <v>4508</v>
      </c>
      <c r="F1941" s="2009">
        <v>2459</v>
      </c>
      <c r="G1941" s="2010">
        <f t="shared" si="329"/>
        <v>0.54547471162377992</v>
      </c>
    </row>
    <row r="1942" spans="1:7" ht="15.75" customHeight="1">
      <c r="A1942" s="548"/>
      <c r="B1942" s="2888"/>
      <c r="C1942" s="2118" t="s">
        <v>518</v>
      </c>
      <c r="D1942" s="2119" t="s">
        <v>705</v>
      </c>
      <c r="E1942" s="2009">
        <v>3000</v>
      </c>
      <c r="F1942" s="2009">
        <v>3000</v>
      </c>
      <c r="G1942" s="2010">
        <f t="shared" si="329"/>
        <v>1</v>
      </c>
    </row>
    <row r="1943" spans="1:7" ht="15.75" customHeight="1">
      <c r="A1943" s="548"/>
      <c r="B1943" s="2888"/>
      <c r="C1943" s="553"/>
      <c r="D1943" s="553"/>
      <c r="E1943" s="550"/>
      <c r="F1943" s="550"/>
      <c r="G1943" s="1433"/>
    </row>
    <row r="1944" spans="1:7" ht="15.75" customHeight="1">
      <c r="A1944" s="548"/>
      <c r="B1944" s="2888"/>
      <c r="C1944" s="2999" t="s">
        <v>520</v>
      </c>
      <c r="D1944" s="2999"/>
      <c r="E1944" s="2009">
        <f t="shared" ref="E1944:F1944" si="343">E1945</f>
        <v>2860</v>
      </c>
      <c r="F1944" s="2009">
        <f t="shared" si="343"/>
        <v>2200</v>
      </c>
      <c r="G1944" s="2010">
        <f t="shared" si="329"/>
        <v>0.76923076923076927</v>
      </c>
    </row>
    <row r="1945" spans="1:7" ht="15.75" customHeight="1" thickBot="1">
      <c r="A1945" s="548"/>
      <c r="B1945" s="2888"/>
      <c r="C1945" s="2043" t="s">
        <v>521</v>
      </c>
      <c r="D1945" s="2044" t="s">
        <v>522</v>
      </c>
      <c r="E1945" s="2015">
        <v>2860</v>
      </c>
      <c r="F1945" s="2015">
        <v>2200</v>
      </c>
      <c r="G1945" s="2016">
        <f t="shared" si="329"/>
        <v>0.76923076923076927</v>
      </c>
    </row>
    <row r="1946" spans="1:7" ht="15.75" customHeight="1" thickBot="1">
      <c r="A1946" s="548"/>
      <c r="B1946" s="559" t="s">
        <v>160</v>
      </c>
      <c r="C1946" s="560"/>
      <c r="D1946" s="561" t="s">
        <v>164</v>
      </c>
      <c r="E1946" s="562">
        <f>E1947</f>
        <v>2761359</v>
      </c>
      <c r="F1946" s="562">
        <f t="shared" ref="F1946" si="344">F1947</f>
        <v>3114086</v>
      </c>
      <c r="G1946" s="1478">
        <f t="shared" si="329"/>
        <v>1.1277367412205368</v>
      </c>
    </row>
    <row r="1947" spans="1:7" ht="15.75" customHeight="1">
      <c r="A1947" s="548"/>
      <c r="B1947" s="2888"/>
      <c r="C1947" s="2853" t="s">
        <v>470</v>
      </c>
      <c r="D1947" s="2853"/>
      <c r="E1947" s="549">
        <f>SUM(E1952,E1948)</f>
        <v>2761359</v>
      </c>
      <c r="F1947" s="549">
        <f t="shared" ref="F1947" si="345">SUM(F1952,F1948)</f>
        <v>3114086</v>
      </c>
      <c r="G1947" s="1424">
        <f t="shared" si="329"/>
        <v>1.1277367412205368</v>
      </c>
    </row>
    <row r="1948" spans="1:7" ht="15.75" customHeight="1">
      <c r="A1948" s="548"/>
      <c r="B1948" s="2888"/>
      <c r="C1948" s="3019" t="s">
        <v>471</v>
      </c>
      <c r="D1948" s="3019"/>
      <c r="E1948" s="2009">
        <f t="shared" ref="E1948:F1948" si="346">E1949</f>
        <v>1020</v>
      </c>
      <c r="F1948" s="2009">
        <f t="shared" si="346"/>
        <v>1040</v>
      </c>
      <c r="G1948" s="2010">
        <f t="shared" ref="G1948:G2048" si="347">F1948/E1948</f>
        <v>1.0196078431372548</v>
      </c>
    </row>
    <row r="1949" spans="1:7" ht="15.75" customHeight="1">
      <c r="A1949" s="548"/>
      <c r="B1949" s="2888"/>
      <c r="C1949" s="3001" t="s">
        <v>483</v>
      </c>
      <c r="D1949" s="3001"/>
      <c r="E1949" s="2011">
        <f>SUM(E1950:E1950)</f>
        <v>1020</v>
      </c>
      <c r="F1949" s="2011">
        <f t="shared" ref="F1949" si="348">SUM(F1950:F1950)</f>
        <v>1040</v>
      </c>
      <c r="G1949" s="2012">
        <f t="shared" si="347"/>
        <v>1.0196078431372548</v>
      </c>
    </row>
    <row r="1950" spans="1:7" ht="15.75" customHeight="1">
      <c r="A1950" s="548"/>
      <c r="B1950" s="2888"/>
      <c r="C1950" s="2049" t="s">
        <v>486</v>
      </c>
      <c r="D1950" s="2050" t="s">
        <v>487</v>
      </c>
      <c r="E1950" s="2009">
        <v>1020</v>
      </c>
      <c r="F1950" s="2009">
        <v>1040</v>
      </c>
      <c r="G1950" s="2010">
        <f t="shared" si="347"/>
        <v>1.0196078431372548</v>
      </c>
    </row>
    <row r="1951" spans="1:7">
      <c r="A1951" s="548"/>
      <c r="B1951" s="2888"/>
      <c r="C1951" s="3037"/>
      <c r="D1951" s="3038"/>
      <c r="E1951" s="2009"/>
      <c r="F1951" s="2009"/>
      <c r="G1951" s="2010"/>
    </row>
    <row r="1952" spans="1:7" ht="16.5" customHeight="1">
      <c r="A1952" s="548"/>
      <c r="B1952" s="2888"/>
      <c r="C1952" s="3035" t="s">
        <v>567</v>
      </c>
      <c r="D1952" s="3036"/>
      <c r="E1952" s="2009">
        <f>SUM(E1953:E1955)</f>
        <v>2760339</v>
      </c>
      <c r="F1952" s="2009">
        <f t="shared" ref="F1952" si="349">SUM(F1953:F1955)</f>
        <v>3113046</v>
      </c>
      <c r="G1952" s="2010">
        <f t="shared" si="347"/>
        <v>1.1277766969926519</v>
      </c>
    </row>
    <row r="1953" spans="1:7" ht="51.75" thickBot="1">
      <c r="A1953" s="548"/>
      <c r="B1953" s="2888"/>
      <c r="C1953" s="2051" t="s">
        <v>582</v>
      </c>
      <c r="D1953" s="2052" t="s">
        <v>583</v>
      </c>
      <c r="E1953" s="2009">
        <v>2759640</v>
      </c>
      <c r="F1953" s="2009">
        <v>3113046</v>
      </c>
      <c r="G1953" s="2010">
        <f t="shared" si="347"/>
        <v>1.1280623559594729</v>
      </c>
    </row>
    <row r="1954" spans="1:7" ht="40.5" hidden="1" customHeight="1">
      <c r="A1954" s="548"/>
      <c r="B1954" s="746"/>
      <c r="C1954" s="2141" t="s">
        <v>434</v>
      </c>
      <c r="D1954" s="2142" t="s">
        <v>433</v>
      </c>
      <c r="E1954" s="2015">
        <v>71</v>
      </c>
      <c r="F1954" s="2015">
        <v>0</v>
      </c>
      <c r="G1954" s="2016">
        <f t="shared" si="347"/>
        <v>0</v>
      </c>
    </row>
    <row r="1955" spans="1:7" ht="17.25" hidden="1" customHeight="1" thickBot="1">
      <c r="A1955" s="548"/>
      <c r="B1955" s="746"/>
      <c r="C1955" s="2141" t="s">
        <v>263</v>
      </c>
      <c r="D1955" s="2142" t="s">
        <v>262</v>
      </c>
      <c r="E1955" s="2143">
        <v>628</v>
      </c>
      <c r="F1955" s="2015">
        <v>0</v>
      </c>
      <c r="G1955" s="2016">
        <f t="shared" si="347"/>
        <v>0</v>
      </c>
    </row>
    <row r="1956" spans="1:7" ht="17.100000000000001" customHeight="1" thickBot="1">
      <c r="A1956" s="642" t="s">
        <v>128</v>
      </c>
      <c r="B1956" s="643"/>
      <c r="C1956" s="2144"/>
      <c r="D1956" s="2145" t="s">
        <v>874</v>
      </c>
      <c r="E1956" s="2146">
        <f>E1968+E1988+E2003+E2013+E2031+E1964+E1984+E1978+E1957+E2024</f>
        <v>1416541</v>
      </c>
      <c r="F1956" s="644">
        <f>F1968+F1988+F2003+F2013+F2031+F1964+F1984+F1978+F1957+F2024</f>
        <v>733823</v>
      </c>
      <c r="G1956" s="2147">
        <f t="shared" si="347"/>
        <v>0.51803865895868884</v>
      </c>
    </row>
    <row r="1957" spans="1:7" ht="17.100000000000001" hidden="1" customHeight="1" thickBot="1">
      <c r="A1957" s="548"/>
      <c r="B1957" s="559" t="s">
        <v>875</v>
      </c>
      <c r="C1957" s="560"/>
      <c r="D1957" s="561" t="s">
        <v>1066</v>
      </c>
      <c r="E1957" s="645">
        <f>E1958</f>
        <v>0</v>
      </c>
      <c r="F1957" s="562">
        <f t="shared" ref="F1957" si="350">F1958</f>
        <v>0</v>
      </c>
      <c r="G1957" s="608"/>
    </row>
    <row r="1958" spans="1:7" ht="17.100000000000001" hidden="1" customHeight="1">
      <c r="A1958" s="548"/>
      <c r="B1958" s="746"/>
      <c r="C1958" s="3025" t="s">
        <v>470</v>
      </c>
      <c r="D1958" s="2783"/>
      <c r="E1958" s="646">
        <f>E1959+E1975</f>
        <v>0</v>
      </c>
      <c r="F1958" s="646">
        <f>F1959+F1975</f>
        <v>0</v>
      </c>
      <c r="G1958" s="1810"/>
    </row>
    <row r="1959" spans="1:7" ht="17.100000000000001" hidden="1" customHeight="1">
      <c r="A1959" s="548"/>
      <c r="B1959" s="746"/>
      <c r="C1959" s="3019" t="s">
        <v>471</v>
      </c>
      <c r="D1959" s="3019"/>
      <c r="E1959" s="2148">
        <f>E1960</f>
        <v>0</v>
      </c>
      <c r="F1959" s="2148">
        <f>F1960</f>
        <v>0</v>
      </c>
      <c r="G1959" s="2010"/>
    </row>
    <row r="1960" spans="1:7" ht="17.100000000000001" hidden="1" customHeight="1">
      <c r="A1960" s="548"/>
      <c r="B1960" s="746"/>
      <c r="C1960" s="3030" t="s">
        <v>472</v>
      </c>
      <c r="D1960" s="3030"/>
      <c r="E1960" s="2148">
        <f>SUM(E1961:E1963)</f>
        <v>0</v>
      </c>
      <c r="F1960" s="2148">
        <f>SUM(F1961:F1963)</f>
        <v>0</v>
      </c>
      <c r="G1960" s="2010"/>
    </row>
    <row r="1961" spans="1:7" ht="17.100000000000001" hidden="1" customHeight="1">
      <c r="A1961" s="548"/>
      <c r="B1961" s="746"/>
      <c r="C1961" s="2049" t="s">
        <v>473</v>
      </c>
      <c r="D1961" s="2050" t="s">
        <v>474</v>
      </c>
      <c r="E1961" s="2148">
        <v>0</v>
      </c>
      <c r="F1961" s="2009">
        <v>0</v>
      </c>
      <c r="G1961" s="2109"/>
    </row>
    <row r="1962" spans="1:7" ht="17.100000000000001" hidden="1" customHeight="1">
      <c r="A1962" s="548"/>
      <c r="B1962" s="746"/>
      <c r="C1962" s="2049" t="s">
        <v>477</v>
      </c>
      <c r="D1962" s="2050" t="s">
        <v>478</v>
      </c>
      <c r="E1962" s="2148">
        <v>0</v>
      </c>
      <c r="F1962" s="2009">
        <v>0</v>
      </c>
      <c r="G1962" s="2109"/>
    </row>
    <row r="1963" spans="1:7" ht="17.100000000000001" hidden="1" customHeight="1" thickBot="1">
      <c r="A1963" s="548"/>
      <c r="B1963" s="746"/>
      <c r="C1963" s="2049" t="s">
        <v>479</v>
      </c>
      <c r="D1963" s="2050" t="s">
        <v>480</v>
      </c>
      <c r="E1963" s="2148">
        <v>0</v>
      </c>
      <c r="F1963" s="2009">
        <v>0</v>
      </c>
      <c r="G1963" s="2109"/>
    </row>
    <row r="1964" spans="1:7" ht="17.100000000000001" hidden="1" customHeight="1" thickBot="1">
      <c r="A1964" s="588"/>
      <c r="B1964" s="559" t="s">
        <v>876</v>
      </c>
      <c r="C1964" s="560"/>
      <c r="D1964" s="561" t="s">
        <v>877</v>
      </c>
      <c r="E1964" s="613">
        <f>E1965</f>
        <v>0</v>
      </c>
      <c r="F1964" s="613">
        <f t="shared" ref="F1964:F1966" si="351">F1965</f>
        <v>0</v>
      </c>
      <c r="G1964" s="1880" t="e">
        <f t="shared" si="347"/>
        <v>#DIV/0!</v>
      </c>
    </row>
    <row r="1965" spans="1:7" ht="17.100000000000001" hidden="1" customHeight="1">
      <c r="A1965" s="588"/>
      <c r="B1965" s="2945"/>
      <c r="C1965" s="2853" t="s">
        <v>470</v>
      </c>
      <c r="D1965" s="2853"/>
      <c r="E1965" s="614">
        <f>E1966</f>
        <v>0</v>
      </c>
      <c r="F1965" s="614">
        <f t="shared" si="351"/>
        <v>0</v>
      </c>
      <c r="G1965" s="1881" t="e">
        <f t="shared" si="347"/>
        <v>#DIV/0!</v>
      </c>
    </row>
    <row r="1966" spans="1:7" ht="17.100000000000001" hidden="1" customHeight="1">
      <c r="A1966" s="588"/>
      <c r="B1966" s="2946"/>
      <c r="C1966" s="3015" t="s">
        <v>567</v>
      </c>
      <c r="D1966" s="3015"/>
      <c r="E1966" s="2149">
        <f>E1967</f>
        <v>0</v>
      </c>
      <c r="F1966" s="2149">
        <f t="shared" si="351"/>
        <v>0</v>
      </c>
      <c r="G1966" s="2150" t="e">
        <f t="shared" si="347"/>
        <v>#DIV/0!</v>
      </c>
    </row>
    <row r="1967" spans="1:7" ht="27" hidden="1" customHeight="1" thickBot="1">
      <c r="A1967" s="588"/>
      <c r="B1967" s="2947"/>
      <c r="C1967" s="2049" t="s">
        <v>277</v>
      </c>
      <c r="D1967" s="2050" t="s">
        <v>657</v>
      </c>
      <c r="E1967" s="647"/>
      <c r="F1967" s="647">
        <v>0</v>
      </c>
      <c r="G1967" s="2151" t="e">
        <f t="shared" si="347"/>
        <v>#DIV/0!</v>
      </c>
    </row>
    <row r="1968" spans="1:7" ht="17.100000000000001" customHeight="1" thickBot="1">
      <c r="A1968" s="753"/>
      <c r="B1968" s="559" t="s">
        <v>129</v>
      </c>
      <c r="C1968" s="560"/>
      <c r="D1968" s="561" t="s">
        <v>437</v>
      </c>
      <c r="E1968" s="613">
        <f t="shared" ref="E1968:F1968" si="352">SUM(E1969)</f>
        <v>439915</v>
      </c>
      <c r="F1968" s="613">
        <f t="shared" si="352"/>
        <v>181100</v>
      </c>
      <c r="G1968" s="1880">
        <f t="shared" si="347"/>
        <v>0.41167043633429184</v>
      </c>
    </row>
    <row r="1969" spans="1:7" ht="17.100000000000001" customHeight="1">
      <c r="A1969" s="548"/>
      <c r="B1969" s="2771"/>
      <c r="C1969" s="2853" t="s">
        <v>470</v>
      </c>
      <c r="D1969" s="2853"/>
      <c r="E1969" s="614">
        <f>E1970+E1976</f>
        <v>439915</v>
      </c>
      <c r="F1969" s="614">
        <f t="shared" ref="F1969" si="353">F1970+F1976</f>
        <v>181100</v>
      </c>
      <c r="G1969" s="1881">
        <f t="shared" si="347"/>
        <v>0.41167043633429184</v>
      </c>
    </row>
    <row r="1970" spans="1:7" ht="17.100000000000001" customHeight="1">
      <c r="A1970" s="548"/>
      <c r="B1970" s="2771"/>
      <c r="C1970" s="3019" t="s">
        <v>471</v>
      </c>
      <c r="D1970" s="3019"/>
      <c r="E1970" s="2152">
        <f t="shared" ref="E1970:F1970" si="354">E1971</f>
        <v>434915</v>
      </c>
      <c r="F1970" s="2152">
        <f t="shared" si="354"/>
        <v>176100</v>
      </c>
      <c r="G1970" s="2153">
        <f t="shared" si="347"/>
        <v>0.404906705908051</v>
      </c>
    </row>
    <row r="1971" spans="1:7" ht="17.100000000000001" customHeight="1">
      <c r="A1971" s="548"/>
      <c r="B1971" s="2771"/>
      <c r="C1971" s="3001" t="s">
        <v>483</v>
      </c>
      <c r="D1971" s="3001"/>
      <c r="E1971" s="2154">
        <f>SUM(E1972:E1974)</f>
        <v>434915</v>
      </c>
      <c r="F1971" s="2154">
        <f>SUM(F1972:F1974)</f>
        <v>176100</v>
      </c>
      <c r="G1971" s="2155">
        <f t="shared" si="347"/>
        <v>0.404906705908051</v>
      </c>
    </row>
    <row r="1972" spans="1:7" ht="17.100000000000001" customHeight="1">
      <c r="A1972" s="548"/>
      <c r="B1972" s="2771"/>
      <c r="C1972" s="2077" t="s">
        <v>486</v>
      </c>
      <c r="D1972" s="2120" t="s">
        <v>487</v>
      </c>
      <c r="E1972" s="2152">
        <v>10000</v>
      </c>
      <c r="F1972" s="2152">
        <v>10000</v>
      </c>
      <c r="G1972" s="2153">
        <f t="shared" si="347"/>
        <v>1</v>
      </c>
    </row>
    <row r="1973" spans="1:7" ht="17.100000000000001" customHeight="1">
      <c r="A1973" s="548"/>
      <c r="B1973" s="2771"/>
      <c r="C1973" s="2049" t="s">
        <v>496</v>
      </c>
      <c r="D1973" s="2050" t="s">
        <v>497</v>
      </c>
      <c r="E1973" s="2152">
        <v>414915</v>
      </c>
      <c r="F1973" s="2152">
        <v>157100</v>
      </c>
      <c r="G1973" s="2153">
        <f t="shared" si="347"/>
        <v>0.37863176795247222</v>
      </c>
    </row>
    <row r="1974" spans="1:7" ht="17.100000000000001" customHeight="1">
      <c r="A1974" s="548"/>
      <c r="B1974" s="741"/>
      <c r="C1974" s="2077" t="s">
        <v>500</v>
      </c>
      <c r="D1974" s="2120" t="s">
        <v>501</v>
      </c>
      <c r="E1974" s="2152">
        <v>10000</v>
      </c>
      <c r="F1974" s="2152">
        <v>9000</v>
      </c>
      <c r="G1974" s="2153">
        <f t="shared" si="347"/>
        <v>0.9</v>
      </c>
    </row>
    <row r="1975" spans="1:7" ht="17.100000000000001" customHeight="1">
      <c r="A1975" s="548"/>
      <c r="B1975" s="741"/>
      <c r="C1975" s="2083"/>
      <c r="D1975" s="2120"/>
      <c r="E1975" s="2152"/>
      <c r="F1975" s="2152"/>
      <c r="G1975" s="2153"/>
    </row>
    <row r="1976" spans="1:7" ht="17.100000000000001" customHeight="1">
      <c r="A1976" s="548"/>
      <c r="B1976" s="741"/>
      <c r="C1976" s="3015" t="s">
        <v>567</v>
      </c>
      <c r="D1976" s="3015"/>
      <c r="E1976" s="2149">
        <f>E1977</f>
        <v>5000</v>
      </c>
      <c r="F1976" s="2149">
        <f t="shared" ref="F1976" si="355">F1977</f>
        <v>5000</v>
      </c>
      <c r="G1976" s="2150">
        <f t="shared" si="347"/>
        <v>1</v>
      </c>
    </row>
    <row r="1977" spans="1:7" ht="53.25" customHeight="1" thickBot="1">
      <c r="A1977" s="548"/>
      <c r="B1977" s="741"/>
      <c r="C1977" s="2156" t="s">
        <v>582</v>
      </c>
      <c r="D1977" s="2157" t="s">
        <v>583</v>
      </c>
      <c r="E1977" s="2152">
        <v>5000</v>
      </c>
      <c r="F1977" s="2152">
        <v>5000</v>
      </c>
      <c r="G1977" s="2153">
        <f t="shared" si="347"/>
        <v>1</v>
      </c>
    </row>
    <row r="1978" spans="1:7" ht="17.100000000000001" customHeight="1" thickBot="1">
      <c r="A1978" s="753"/>
      <c r="B1978" s="559" t="s">
        <v>878</v>
      </c>
      <c r="C1978" s="560"/>
      <c r="D1978" s="561" t="s">
        <v>439</v>
      </c>
      <c r="E1978" s="613">
        <f t="shared" ref="E1978:F1980" si="356">E1979</f>
        <v>88850</v>
      </c>
      <c r="F1978" s="613">
        <f t="shared" si="356"/>
        <v>5000</v>
      </c>
      <c r="G1978" s="1880">
        <f>F1978/E1978</f>
        <v>5.6274620146314014E-2</v>
      </c>
    </row>
    <row r="1979" spans="1:7" ht="17.25" customHeight="1">
      <c r="A1979" s="548"/>
      <c r="B1979" s="741"/>
      <c r="C1979" s="2853" t="s">
        <v>470</v>
      </c>
      <c r="D1979" s="2853"/>
      <c r="E1979" s="615">
        <f t="shared" si="356"/>
        <v>88850</v>
      </c>
      <c r="F1979" s="615">
        <f t="shared" si="356"/>
        <v>5000</v>
      </c>
      <c r="G1979" s="2158">
        <f>F1979/E1979</f>
        <v>5.6274620146314014E-2</v>
      </c>
    </row>
    <row r="1980" spans="1:7" ht="17.25" customHeight="1">
      <c r="A1980" s="548"/>
      <c r="B1980" s="741"/>
      <c r="C1980" s="3019" t="s">
        <v>471</v>
      </c>
      <c r="D1980" s="3019"/>
      <c r="E1980" s="2149">
        <f t="shared" si="356"/>
        <v>88850</v>
      </c>
      <c r="F1980" s="2149">
        <f t="shared" si="356"/>
        <v>5000</v>
      </c>
      <c r="G1980" s="2150">
        <f t="shared" ref="G1980:G1983" si="357">F1980/E1980</f>
        <v>5.6274620146314014E-2</v>
      </c>
    </row>
    <row r="1981" spans="1:7" ht="18.75" customHeight="1">
      <c r="A1981" s="548"/>
      <c r="B1981" s="741"/>
      <c r="C1981" s="3001" t="s">
        <v>483</v>
      </c>
      <c r="D1981" s="3001"/>
      <c r="E1981" s="2149">
        <f>E1982+E1983</f>
        <v>88850</v>
      </c>
      <c r="F1981" s="2149">
        <f>F1982+F1983</f>
        <v>5000</v>
      </c>
      <c r="G1981" s="2150">
        <f t="shared" si="357"/>
        <v>5.6274620146314014E-2</v>
      </c>
    </row>
    <row r="1982" spans="1:7" ht="16.5" hidden="1" customHeight="1">
      <c r="A1982" s="548"/>
      <c r="B1982" s="741"/>
      <c r="C1982" s="2077" t="s">
        <v>496</v>
      </c>
      <c r="D1982" s="2120" t="s">
        <v>497</v>
      </c>
      <c r="E1982" s="2149">
        <v>73185</v>
      </c>
      <c r="F1982" s="2149">
        <v>0</v>
      </c>
      <c r="G1982" s="2150">
        <f t="shared" si="357"/>
        <v>0</v>
      </c>
    </row>
    <row r="1983" spans="1:7" ht="16.5" customHeight="1" thickBot="1">
      <c r="A1983" s="548"/>
      <c r="B1983" s="741"/>
      <c r="C1983" s="2159" t="s">
        <v>500</v>
      </c>
      <c r="D1983" s="745" t="s">
        <v>501</v>
      </c>
      <c r="E1983" s="612">
        <v>15665</v>
      </c>
      <c r="F1983" s="612">
        <v>5000</v>
      </c>
      <c r="G1983" s="1879">
        <f t="shared" si="357"/>
        <v>0.31918289179699966</v>
      </c>
    </row>
    <row r="1984" spans="1:7" ht="18.75" hidden="1" customHeight="1" thickBot="1">
      <c r="A1984" s="548"/>
      <c r="B1984" s="559" t="s">
        <v>879</v>
      </c>
      <c r="C1984" s="560"/>
      <c r="D1984" s="561" t="s">
        <v>880</v>
      </c>
      <c r="E1984" s="613">
        <f>E1985</f>
        <v>0</v>
      </c>
      <c r="F1984" s="613">
        <f t="shared" ref="F1984:F1986" si="358">F1985</f>
        <v>0</v>
      </c>
      <c r="G1984" s="1880" t="e">
        <f t="shared" si="347"/>
        <v>#DIV/0!</v>
      </c>
    </row>
    <row r="1985" spans="1:7" ht="15.75" hidden="1" customHeight="1">
      <c r="A1985" s="548"/>
      <c r="B1985" s="2945"/>
      <c r="C1985" s="2853" t="s">
        <v>523</v>
      </c>
      <c r="D1985" s="2853"/>
      <c r="E1985" s="614">
        <f>E1986</f>
        <v>0</v>
      </c>
      <c r="F1985" s="614">
        <f t="shared" si="358"/>
        <v>0</v>
      </c>
      <c r="G1985" s="1881" t="e">
        <f t="shared" si="347"/>
        <v>#DIV/0!</v>
      </c>
    </row>
    <row r="1986" spans="1:7" ht="15" hidden="1" customHeight="1">
      <c r="A1986" s="548"/>
      <c r="B1986" s="2946"/>
      <c r="C1986" s="3015" t="s">
        <v>524</v>
      </c>
      <c r="D1986" s="3015"/>
      <c r="E1986" s="2149">
        <f>E1987</f>
        <v>0</v>
      </c>
      <c r="F1986" s="2149">
        <f t="shared" si="358"/>
        <v>0</v>
      </c>
      <c r="G1986" s="2150" t="e">
        <f t="shared" si="347"/>
        <v>#DIV/0!</v>
      </c>
    </row>
    <row r="1987" spans="1:7" ht="40.5" hidden="1" customHeight="1" thickBot="1">
      <c r="A1987" s="548"/>
      <c r="B1987" s="2947"/>
      <c r="C1987" s="2049" t="s">
        <v>642</v>
      </c>
      <c r="D1987" s="2050" t="s">
        <v>643</v>
      </c>
      <c r="E1987" s="647"/>
      <c r="F1987" s="647"/>
      <c r="G1987" s="2151" t="e">
        <f t="shared" si="347"/>
        <v>#DIV/0!</v>
      </c>
    </row>
    <row r="1988" spans="1:7" ht="24.75" customHeight="1" thickBot="1">
      <c r="A1988" s="548"/>
      <c r="B1988" s="559" t="s">
        <v>881</v>
      </c>
      <c r="C1988" s="560"/>
      <c r="D1988" s="561" t="s">
        <v>440</v>
      </c>
      <c r="E1988" s="648">
        <f>E1989+E2000</f>
        <v>413973</v>
      </c>
      <c r="F1988" s="648">
        <f t="shared" ref="F1988" si="359">F1989+F2000</f>
        <v>350000</v>
      </c>
      <c r="G1988" s="2160">
        <f t="shared" si="347"/>
        <v>0.84546576709109045</v>
      </c>
    </row>
    <row r="1989" spans="1:7" ht="17.100000000000001" customHeight="1">
      <c r="A1989" s="548"/>
      <c r="B1989" s="2771"/>
      <c r="C1989" s="2853" t="s">
        <v>470</v>
      </c>
      <c r="D1989" s="2853"/>
      <c r="E1989" s="614">
        <f t="shared" ref="E1989:F1989" si="360">SUM(E1990)</f>
        <v>413973</v>
      </c>
      <c r="F1989" s="614">
        <f t="shared" si="360"/>
        <v>333000</v>
      </c>
      <c r="G1989" s="1881">
        <f t="shared" si="347"/>
        <v>0.80440028697523747</v>
      </c>
    </row>
    <row r="1990" spans="1:7" ht="17.100000000000001" customHeight="1">
      <c r="A1990" s="548"/>
      <c r="B1990" s="2771"/>
      <c r="C1990" s="3019" t="s">
        <v>471</v>
      </c>
      <c r="D1990" s="3019"/>
      <c r="E1990" s="2152">
        <f>SUM(E1991,E1996)</f>
        <v>413973</v>
      </c>
      <c r="F1990" s="2152">
        <f t="shared" ref="F1990" si="361">SUM(F1991,F1996)</f>
        <v>333000</v>
      </c>
      <c r="G1990" s="2153">
        <f t="shared" si="347"/>
        <v>0.80440028697523747</v>
      </c>
    </row>
    <row r="1991" spans="1:7" ht="17.100000000000001" customHeight="1">
      <c r="A1991" s="548"/>
      <c r="B1991" s="2771"/>
      <c r="C1991" s="3030" t="s">
        <v>472</v>
      </c>
      <c r="D1991" s="3030"/>
      <c r="E1991" s="2154">
        <f>SUM(E1992:E1994)</f>
        <v>398973</v>
      </c>
      <c r="F1991" s="2154">
        <f t="shared" ref="F1991" si="362">SUM(F1992:F1994)</f>
        <v>248000</v>
      </c>
      <c r="G1991" s="2155">
        <f t="shared" si="347"/>
        <v>0.62159594759545134</v>
      </c>
    </row>
    <row r="1992" spans="1:7" ht="17.100000000000001" customHeight="1">
      <c r="A1992" s="548"/>
      <c r="B1992" s="2771"/>
      <c r="C1992" s="2161" t="s">
        <v>473</v>
      </c>
      <c r="D1992" s="2162" t="s">
        <v>474</v>
      </c>
      <c r="E1992" s="2152">
        <v>333033</v>
      </c>
      <c r="F1992" s="2152">
        <v>207289</v>
      </c>
      <c r="G1992" s="2153">
        <f t="shared" si="347"/>
        <v>0.62242780745451654</v>
      </c>
    </row>
    <row r="1993" spans="1:7" ht="17.100000000000001" customHeight="1">
      <c r="A1993" s="548"/>
      <c r="B1993" s="2771"/>
      <c r="C1993" s="2049" t="s">
        <v>477</v>
      </c>
      <c r="D1993" s="2050" t="s">
        <v>478</v>
      </c>
      <c r="E1993" s="2152">
        <v>57780</v>
      </c>
      <c r="F1993" s="2152">
        <v>35633</v>
      </c>
      <c r="G1993" s="2153">
        <f t="shared" si="347"/>
        <v>0.61670128071997232</v>
      </c>
    </row>
    <row r="1994" spans="1:7" ht="17.100000000000001" customHeight="1">
      <c r="A1994" s="548"/>
      <c r="B1994" s="2771"/>
      <c r="C1994" s="2049" t="s">
        <v>479</v>
      </c>
      <c r="D1994" s="2050" t="s">
        <v>480</v>
      </c>
      <c r="E1994" s="2152">
        <v>8160</v>
      </c>
      <c r="F1994" s="2152">
        <v>5078</v>
      </c>
      <c r="G1994" s="2153">
        <f t="shared" si="347"/>
        <v>0.62230392156862746</v>
      </c>
    </row>
    <row r="1995" spans="1:7" ht="17.100000000000001" customHeight="1">
      <c r="A1995" s="548"/>
      <c r="B1995" s="2771"/>
      <c r="C1995" s="748"/>
      <c r="D1995" s="745"/>
      <c r="E1995" s="649"/>
      <c r="F1995" s="649"/>
      <c r="G1995" s="2158"/>
    </row>
    <row r="1996" spans="1:7" ht="17.100000000000001" customHeight="1">
      <c r="A1996" s="548"/>
      <c r="B1996" s="2771"/>
      <c r="C1996" s="3001" t="s">
        <v>483</v>
      </c>
      <c r="D1996" s="3001"/>
      <c r="E1996" s="2154">
        <f>E1997+E1998</f>
        <v>15000</v>
      </c>
      <c r="F1996" s="2154">
        <f>F1997+F1998</f>
        <v>85000</v>
      </c>
      <c r="G1996" s="2155">
        <f t="shared" si="347"/>
        <v>5.666666666666667</v>
      </c>
    </row>
    <row r="1997" spans="1:7" ht="17.100000000000001" customHeight="1">
      <c r="A1997" s="548"/>
      <c r="B1997" s="2771"/>
      <c r="C1997" s="2077" t="s">
        <v>486</v>
      </c>
      <c r="D1997" s="2120" t="s">
        <v>487</v>
      </c>
      <c r="E1997" s="2152">
        <v>0</v>
      </c>
      <c r="F1997" s="2152">
        <v>70000</v>
      </c>
      <c r="G1997" s="2155"/>
    </row>
    <row r="1998" spans="1:7" ht="17.100000000000001" customHeight="1">
      <c r="A1998" s="548"/>
      <c r="B1998" s="2771"/>
      <c r="C1998" s="2049" t="s">
        <v>518</v>
      </c>
      <c r="D1998" s="2050" t="s">
        <v>519</v>
      </c>
      <c r="E1998" s="2152">
        <v>15000</v>
      </c>
      <c r="F1998" s="2152">
        <v>15000</v>
      </c>
      <c r="G1998" s="2153">
        <f t="shared" si="347"/>
        <v>1</v>
      </c>
    </row>
    <row r="1999" spans="1:7" ht="17.100000000000001" customHeight="1">
      <c r="A1999" s="548"/>
      <c r="B1999" s="741"/>
      <c r="C1999" s="3037"/>
      <c r="D1999" s="3039"/>
      <c r="E1999" s="2152"/>
      <c r="F1999" s="2152"/>
      <c r="G1999" s="2153"/>
    </row>
    <row r="2000" spans="1:7" ht="17.100000000000001" customHeight="1">
      <c r="A2000" s="548"/>
      <c r="B2000" s="741"/>
      <c r="C2000" s="2879" t="s">
        <v>523</v>
      </c>
      <c r="D2000" s="2879"/>
      <c r="E2000" s="614">
        <f t="shared" ref="E2000:F2000" si="363">E2001</f>
        <v>0</v>
      </c>
      <c r="F2000" s="614">
        <f t="shared" si="363"/>
        <v>17000</v>
      </c>
      <c r="G2000" s="1881"/>
    </row>
    <row r="2001" spans="1:7" ht="17.100000000000001" customHeight="1">
      <c r="A2001" s="548"/>
      <c r="B2001" s="741"/>
      <c r="C2001" s="2999" t="s">
        <v>524</v>
      </c>
      <c r="D2001" s="2987"/>
      <c r="E2001" s="2152">
        <f>SUM(E2002:E2002)</f>
        <v>0</v>
      </c>
      <c r="F2001" s="2152">
        <f t="shared" ref="F2001" si="364">SUM(F2002:F2002)</f>
        <v>17000</v>
      </c>
      <c r="G2001" s="2153"/>
    </row>
    <row r="2002" spans="1:7" ht="17.100000000000001" customHeight="1" thickBot="1">
      <c r="A2002" s="548"/>
      <c r="B2002" s="741"/>
      <c r="C2002" s="555" t="s">
        <v>525</v>
      </c>
      <c r="D2002" s="1456" t="s">
        <v>571</v>
      </c>
      <c r="E2002" s="2149">
        <v>0</v>
      </c>
      <c r="F2002" s="2149">
        <v>17000</v>
      </c>
      <c r="G2002" s="2150"/>
    </row>
    <row r="2003" spans="1:7" ht="27" customHeight="1" thickBot="1">
      <c r="A2003" s="548"/>
      <c r="B2003" s="559" t="s">
        <v>882</v>
      </c>
      <c r="C2003" s="560"/>
      <c r="D2003" s="561" t="s">
        <v>442</v>
      </c>
      <c r="E2003" s="613">
        <f t="shared" ref="E2003:F2004" si="365">E2004</f>
        <v>39754</v>
      </c>
      <c r="F2003" s="613">
        <f t="shared" si="365"/>
        <v>60600</v>
      </c>
      <c r="G2003" s="1880">
        <f t="shared" si="347"/>
        <v>1.5243749056698697</v>
      </c>
    </row>
    <row r="2004" spans="1:7" ht="17.100000000000001" customHeight="1">
      <c r="A2004" s="548"/>
      <c r="B2004" s="2771"/>
      <c r="C2004" s="2853" t="s">
        <v>470</v>
      </c>
      <c r="D2004" s="2853"/>
      <c r="E2004" s="614">
        <f t="shared" si="365"/>
        <v>39754</v>
      </c>
      <c r="F2004" s="614">
        <f t="shared" si="365"/>
        <v>60600</v>
      </c>
      <c r="G2004" s="1881">
        <f t="shared" si="347"/>
        <v>1.5243749056698697</v>
      </c>
    </row>
    <row r="2005" spans="1:7" ht="16.5" customHeight="1">
      <c r="A2005" s="548"/>
      <c r="B2005" s="2771"/>
      <c r="C2005" s="3019" t="s">
        <v>471</v>
      </c>
      <c r="D2005" s="3019"/>
      <c r="E2005" s="2152">
        <f>SUM(E2011+E2006)</f>
        <v>39754</v>
      </c>
      <c r="F2005" s="2152">
        <f>SUM(F2011+F2006)</f>
        <v>60600</v>
      </c>
      <c r="G2005" s="2153">
        <f t="shared" si="347"/>
        <v>1.5243749056698697</v>
      </c>
    </row>
    <row r="2006" spans="1:7" ht="17.25" customHeight="1">
      <c r="A2006" s="548"/>
      <c r="B2006" s="2771"/>
      <c r="C2006" s="3030" t="s">
        <v>472</v>
      </c>
      <c r="D2006" s="3030"/>
      <c r="E2006" s="2149">
        <f>E2007+E2008+E2009</f>
        <v>39754</v>
      </c>
      <c r="F2006" s="2149">
        <f>F2007+F2008+F2009</f>
        <v>50100</v>
      </c>
      <c r="G2006" s="2153">
        <f t="shared" si="347"/>
        <v>1.2602505408260805</v>
      </c>
    </row>
    <row r="2007" spans="1:7" ht="16.5" customHeight="1">
      <c r="A2007" s="548"/>
      <c r="B2007" s="2771"/>
      <c r="C2007" s="2161" t="s">
        <v>473</v>
      </c>
      <c r="D2007" s="2162" t="s">
        <v>474</v>
      </c>
      <c r="E2007" s="2149">
        <v>33213</v>
      </c>
      <c r="F2007" s="2149">
        <v>41876</v>
      </c>
      <c r="G2007" s="2153">
        <f t="shared" si="347"/>
        <v>1.2608316020835215</v>
      </c>
    </row>
    <row r="2008" spans="1:7" ht="17.25" customHeight="1">
      <c r="A2008" s="548"/>
      <c r="B2008" s="2771"/>
      <c r="C2008" s="2049" t="s">
        <v>477</v>
      </c>
      <c r="D2008" s="2050" t="s">
        <v>478</v>
      </c>
      <c r="E2008" s="2149">
        <v>5727</v>
      </c>
      <c r="F2008" s="2149">
        <v>7198</v>
      </c>
      <c r="G2008" s="2153">
        <f t="shared" si="347"/>
        <v>1.2568535009603632</v>
      </c>
    </row>
    <row r="2009" spans="1:7" ht="25.5" customHeight="1">
      <c r="A2009" s="548"/>
      <c r="B2009" s="2771"/>
      <c r="C2009" s="2049" t="s">
        <v>479</v>
      </c>
      <c r="D2009" s="2050" t="s">
        <v>1028</v>
      </c>
      <c r="E2009" s="2149">
        <v>814</v>
      </c>
      <c r="F2009" s="2149">
        <v>1026</v>
      </c>
      <c r="G2009" s="2153">
        <f t="shared" si="347"/>
        <v>1.2604422604422605</v>
      </c>
    </row>
    <row r="2010" spans="1:7" ht="12.75" customHeight="1">
      <c r="A2010" s="548"/>
      <c r="B2010" s="2771"/>
      <c r="C2010" s="2163"/>
      <c r="D2010" s="2163"/>
      <c r="E2010" s="2149"/>
      <c r="F2010" s="2149"/>
      <c r="G2010" s="2150"/>
    </row>
    <row r="2011" spans="1:7" ht="17.100000000000001" customHeight="1">
      <c r="A2011" s="548"/>
      <c r="B2011" s="2771"/>
      <c r="C2011" s="3006" t="s">
        <v>483</v>
      </c>
      <c r="D2011" s="3006"/>
      <c r="E2011" s="2164">
        <f t="shared" ref="E2011:F2011" si="366">E2012</f>
        <v>0</v>
      </c>
      <c r="F2011" s="2164">
        <f t="shared" si="366"/>
        <v>10500</v>
      </c>
      <c r="G2011" s="2165"/>
    </row>
    <row r="2012" spans="1:7" ht="17.100000000000001" customHeight="1" thickBot="1">
      <c r="A2012" s="548"/>
      <c r="B2012" s="2771"/>
      <c r="C2012" s="586" t="s">
        <v>486</v>
      </c>
      <c r="D2012" s="1541" t="s">
        <v>487</v>
      </c>
      <c r="E2012" s="612">
        <v>0</v>
      </c>
      <c r="F2012" s="612">
        <v>10500</v>
      </c>
      <c r="G2012" s="1879"/>
    </row>
    <row r="2013" spans="1:7" ht="24.75" customHeight="1" thickBot="1">
      <c r="A2013" s="548"/>
      <c r="B2013" s="559" t="s">
        <v>883</v>
      </c>
      <c r="C2013" s="560"/>
      <c r="D2013" s="561" t="s">
        <v>884</v>
      </c>
      <c r="E2013" s="613">
        <f t="shared" ref="E2013:F2014" si="367">E2014</f>
        <v>1200</v>
      </c>
      <c r="F2013" s="613">
        <f t="shared" si="367"/>
        <v>1200</v>
      </c>
      <c r="G2013" s="1880">
        <f t="shared" si="347"/>
        <v>1</v>
      </c>
    </row>
    <row r="2014" spans="1:7" ht="17.100000000000001" customHeight="1">
      <c r="A2014" s="548"/>
      <c r="B2014" s="2888"/>
      <c r="C2014" s="2853" t="s">
        <v>470</v>
      </c>
      <c r="D2014" s="2853"/>
      <c r="E2014" s="614">
        <f>E2015</f>
        <v>1200</v>
      </c>
      <c r="F2014" s="614">
        <f t="shared" si="367"/>
        <v>1200</v>
      </c>
      <c r="G2014" s="1881">
        <f t="shared" si="347"/>
        <v>1</v>
      </c>
    </row>
    <row r="2015" spans="1:7" ht="17.100000000000001" customHeight="1">
      <c r="A2015" s="548"/>
      <c r="B2015" s="2888"/>
      <c r="C2015" s="3019" t="s">
        <v>471</v>
      </c>
      <c r="D2015" s="3019"/>
      <c r="E2015" s="2152">
        <f>SUM(E2021+E2016)</f>
        <v>1200</v>
      </c>
      <c r="F2015" s="2152">
        <f>SUM(F2021+F2016)</f>
        <v>1200</v>
      </c>
      <c r="G2015" s="2153">
        <f t="shared" si="347"/>
        <v>1</v>
      </c>
    </row>
    <row r="2016" spans="1:7" ht="17.100000000000001" hidden="1" customHeight="1">
      <c r="A2016" s="548"/>
      <c r="B2016" s="2888"/>
      <c r="C2016" s="3030" t="s">
        <v>472</v>
      </c>
      <c r="D2016" s="3030"/>
      <c r="E2016" s="2152">
        <f>E2017+E2018+E2019</f>
        <v>0</v>
      </c>
      <c r="F2016" s="2152">
        <f>F2017+F2018+F2019</f>
        <v>0</v>
      </c>
      <c r="G2016" s="2153" t="e">
        <f t="shared" si="347"/>
        <v>#DIV/0!</v>
      </c>
    </row>
    <row r="2017" spans="1:7" ht="17.100000000000001" hidden="1" customHeight="1">
      <c r="A2017" s="548"/>
      <c r="B2017" s="2888"/>
      <c r="C2017" s="2161" t="s">
        <v>473</v>
      </c>
      <c r="D2017" s="2162" t="s">
        <v>474</v>
      </c>
      <c r="E2017" s="2152"/>
      <c r="F2017" s="2152"/>
      <c r="G2017" s="2153" t="e">
        <f t="shared" si="347"/>
        <v>#DIV/0!</v>
      </c>
    </row>
    <row r="2018" spans="1:7" ht="17.100000000000001" hidden="1" customHeight="1">
      <c r="A2018" s="548"/>
      <c r="B2018" s="2888"/>
      <c r="C2018" s="2049" t="s">
        <v>477</v>
      </c>
      <c r="D2018" s="2050" t="s">
        <v>478</v>
      </c>
      <c r="E2018" s="2152"/>
      <c r="F2018" s="2152"/>
      <c r="G2018" s="2153" t="e">
        <f t="shared" si="347"/>
        <v>#DIV/0!</v>
      </c>
    </row>
    <row r="2019" spans="1:7" ht="17.100000000000001" hidden="1" customHeight="1">
      <c r="A2019" s="548"/>
      <c r="B2019" s="2888"/>
      <c r="C2019" s="2049" t="s">
        <v>479</v>
      </c>
      <c r="D2019" s="2050" t="s">
        <v>480</v>
      </c>
      <c r="E2019" s="2152"/>
      <c r="F2019" s="2152"/>
      <c r="G2019" s="2153" t="e">
        <f t="shared" si="347"/>
        <v>#DIV/0!</v>
      </c>
    </row>
    <row r="2020" spans="1:7" ht="17.100000000000001" hidden="1" customHeight="1">
      <c r="A2020" s="548"/>
      <c r="B2020" s="2888"/>
      <c r="C2020" s="2163"/>
      <c r="D2020" s="2163"/>
      <c r="E2020" s="2152"/>
      <c r="F2020" s="2152"/>
      <c r="G2020" s="2153"/>
    </row>
    <row r="2021" spans="1:7" ht="17.100000000000001" customHeight="1">
      <c r="A2021" s="548"/>
      <c r="B2021" s="2888"/>
      <c r="C2021" s="3001" t="s">
        <v>483</v>
      </c>
      <c r="D2021" s="3001"/>
      <c r="E2021" s="2154">
        <f t="shared" ref="E2021:F2021" si="368">E2023+E2022</f>
        <v>1200</v>
      </c>
      <c r="F2021" s="2154">
        <f t="shared" si="368"/>
        <v>1200</v>
      </c>
      <c r="G2021" s="2155">
        <f t="shared" si="347"/>
        <v>1</v>
      </c>
    </row>
    <row r="2022" spans="1:7" ht="17.25" hidden="1" customHeight="1">
      <c r="A2022" s="548"/>
      <c r="B2022" s="2888"/>
      <c r="C2022" s="2049" t="s">
        <v>486</v>
      </c>
      <c r="D2022" s="2050" t="s">
        <v>487</v>
      </c>
      <c r="E2022" s="2152">
        <v>0</v>
      </c>
      <c r="F2022" s="2152"/>
      <c r="G2022" s="2153" t="e">
        <f t="shared" si="347"/>
        <v>#DIV/0!</v>
      </c>
    </row>
    <row r="2023" spans="1:7" ht="17.100000000000001" customHeight="1" thickBot="1">
      <c r="A2023" s="548"/>
      <c r="B2023" s="2888"/>
      <c r="C2023" s="2101" t="s">
        <v>518</v>
      </c>
      <c r="D2023" s="2044" t="s">
        <v>519</v>
      </c>
      <c r="E2023" s="2149">
        <v>1200</v>
      </c>
      <c r="F2023" s="2149">
        <v>1200</v>
      </c>
      <c r="G2023" s="2150">
        <f t="shared" si="347"/>
        <v>1</v>
      </c>
    </row>
    <row r="2024" spans="1:7" ht="20.25" customHeight="1" thickBot="1">
      <c r="A2024" s="548"/>
      <c r="B2024" s="559" t="s">
        <v>1067</v>
      </c>
      <c r="C2024" s="560"/>
      <c r="D2024" s="561" t="s">
        <v>1022</v>
      </c>
      <c r="E2024" s="613">
        <f t="shared" ref="E2024:F2024" si="369">E2025</f>
        <v>182849</v>
      </c>
      <c r="F2024" s="613">
        <f t="shared" si="369"/>
        <v>50000</v>
      </c>
      <c r="G2024" s="1880">
        <f t="shared" si="347"/>
        <v>0.27344967705593137</v>
      </c>
    </row>
    <row r="2025" spans="1:7" ht="17.100000000000001" customHeight="1">
      <c r="A2025" s="548"/>
      <c r="B2025" s="746"/>
      <c r="C2025" s="2853" t="s">
        <v>470</v>
      </c>
      <c r="D2025" s="2853"/>
      <c r="E2025" s="649">
        <f>E2026</f>
        <v>182849</v>
      </c>
      <c r="F2025" s="649">
        <f>F2026</f>
        <v>50000</v>
      </c>
      <c r="G2025" s="2166">
        <f>F2025/E2025</f>
        <v>0.27344967705593137</v>
      </c>
    </row>
    <row r="2026" spans="1:7" ht="17.100000000000001" customHeight="1">
      <c r="A2026" s="548"/>
      <c r="B2026" s="746"/>
      <c r="C2026" s="3015" t="s">
        <v>471</v>
      </c>
      <c r="D2026" s="3015"/>
      <c r="E2026" s="2149">
        <f>E2027</f>
        <v>182849</v>
      </c>
      <c r="F2026" s="2149">
        <f>F2027</f>
        <v>50000</v>
      </c>
      <c r="G2026" s="2167">
        <f t="shared" ref="G2026:G2030" si="370">F2026/E2026</f>
        <v>0.27344967705593137</v>
      </c>
    </row>
    <row r="2027" spans="1:7" ht="17.100000000000001" customHeight="1">
      <c r="A2027" s="548"/>
      <c r="B2027" s="746"/>
      <c r="C2027" s="3040" t="s">
        <v>472</v>
      </c>
      <c r="D2027" s="3041"/>
      <c r="E2027" s="2149">
        <f>E2028+E2029+E2030</f>
        <v>182849</v>
      </c>
      <c r="F2027" s="2149">
        <f>F2028+F2029+F2030</f>
        <v>50000</v>
      </c>
      <c r="G2027" s="2168">
        <f t="shared" si="370"/>
        <v>0.27344967705593137</v>
      </c>
    </row>
    <row r="2028" spans="1:7" ht="17.100000000000001" customHeight="1">
      <c r="A2028" s="548"/>
      <c r="B2028" s="746"/>
      <c r="C2028" s="2161" t="s">
        <v>473</v>
      </c>
      <c r="D2028" s="2162" t="s">
        <v>474</v>
      </c>
      <c r="E2028" s="2149">
        <v>152700</v>
      </c>
      <c r="F2028" s="2149">
        <v>41792</v>
      </c>
      <c r="G2028" s="2167">
        <f t="shared" si="370"/>
        <v>0.2736869679109365</v>
      </c>
    </row>
    <row r="2029" spans="1:7" ht="17.100000000000001" customHeight="1">
      <c r="A2029" s="548"/>
      <c r="B2029" s="746"/>
      <c r="C2029" s="2049" t="s">
        <v>477</v>
      </c>
      <c r="D2029" s="2050" t="s">
        <v>478</v>
      </c>
      <c r="E2029" s="2149">
        <v>26408</v>
      </c>
      <c r="F2029" s="2149">
        <v>7184</v>
      </c>
      <c r="G2029" s="2167">
        <f t="shared" si="370"/>
        <v>0.2720387761284459</v>
      </c>
    </row>
    <row r="2030" spans="1:7" ht="28.5" customHeight="1" thickBot="1">
      <c r="A2030" s="548"/>
      <c r="B2030" s="746"/>
      <c r="C2030" s="2049" t="s">
        <v>479</v>
      </c>
      <c r="D2030" s="2050" t="s">
        <v>1028</v>
      </c>
      <c r="E2030" s="2152">
        <v>3741</v>
      </c>
      <c r="F2030" s="2152">
        <v>1024</v>
      </c>
      <c r="G2030" s="2169">
        <f t="shared" si="370"/>
        <v>0.27372360331462176</v>
      </c>
    </row>
    <row r="2031" spans="1:7" ht="17.100000000000001" customHeight="1" thickBot="1">
      <c r="A2031" s="548"/>
      <c r="B2031" s="559" t="s">
        <v>885</v>
      </c>
      <c r="C2031" s="560"/>
      <c r="D2031" s="561" t="s">
        <v>239</v>
      </c>
      <c r="E2031" s="613">
        <f>E2032+E2046</f>
        <v>250000</v>
      </c>
      <c r="F2031" s="613">
        <f>F2032+F2046</f>
        <v>85923</v>
      </c>
      <c r="G2031" s="2170">
        <f t="shared" si="347"/>
        <v>0.343692</v>
      </c>
    </row>
    <row r="2032" spans="1:7" ht="17.100000000000001" customHeight="1">
      <c r="A2032" s="548"/>
      <c r="B2032" s="2771"/>
      <c r="C2032" s="2853" t="s">
        <v>470</v>
      </c>
      <c r="D2032" s="2853"/>
      <c r="E2032" s="627">
        <f>E2033+E2043</f>
        <v>180000</v>
      </c>
      <c r="F2032" s="627">
        <f>F2033+F2043</f>
        <v>85923</v>
      </c>
      <c r="G2032" s="1810">
        <f t="shared" si="347"/>
        <v>0.47735</v>
      </c>
    </row>
    <row r="2033" spans="1:7" ht="17.100000000000001" customHeight="1">
      <c r="A2033" s="548"/>
      <c r="B2033" s="2771"/>
      <c r="C2033" s="3042" t="s">
        <v>471</v>
      </c>
      <c r="D2033" s="3042"/>
      <c r="E2033" s="2171">
        <f>E2034+E2037</f>
        <v>170000</v>
      </c>
      <c r="F2033" s="2171">
        <f>F2034+F2037</f>
        <v>85923</v>
      </c>
      <c r="G2033" s="2172">
        <f t="shared" si="347"/>
        <v>0.5054294117647059</v>
      </c>
    </row>
    <row r="2034" spans="1:7" ht="17.100000000000001" customHeight="1">
      <c r="A2034" s="548"/>
      <c r="B2034" s="2771"/>
      <c r="C2034" s="3040" t="s">
        <v>472</v>
      </c>
      <c r="D2034" s="3041"/>
      <c r="E2034" s="2009">
        <f>E2035</f>
        <v>5000</v>
      </c>
      <c r="F2034" s="2009">
        <f>F2035</f>
        <v>2500</v>
      </c>
      <c r="G2034" s="2010">
        <f t="shared" si="347"/>
        <v>0.5</v>
      </c>
    </row>
    <row r="2035" spans="1:7" ht="17.100000000000001" customHeight="1">
      <c r="A2035" s="548"/>
      <c r="B2035" s="2771"/>
      <c r="C2035" s="2085" t="s">
        <v>481</v>
      </c>
      <c r="D2035" s="2173" t="s">
        <v>482</v>
      </c>
      <c r="E2035" s="2009">
        <v>5000</v>
      </c>
      <c r="F2035" s="2009">
        <v>2500</v>
      </c>
      <c r="G2035" s="2010">
        <f t="shared" si="347"/>
        <v>0.5</v>
      </c>
    </row>
    <row r="2036" spans="1:7" ht="17.100000000000001" customHeight="1">
      <c r="A2036" s="548"/>
      <c r="B2036" s="2771"/>
      <c r="C2036" s="2173"/>
      <c r="D2036" s="2173"/>
      <c r="E2036" s="2009"/>
      <c r="F2036" s="2009"/>
      <c r="G2036" s="2010"/>
    </row>
    <row r="2037" spans="1:7" ht="17.100000000000001" customHeight="1">
      <c r="A2037" s="548"/>
      <c r="B2037" s="2771"/>
      <c r="C2037" s="3043" t="s">
        <v>483</v>
      </c>
      <c r="D2037" s="3043"/>
      <c r="E2037" s="2011">
        <f>SUM(E2038:E2041)</f>
        <v>165000</v>
      </c>
      <c r="F2037" s="2011">
        <f>SUM(F2038:F2041)</f>
        <v>83423</v>
      </c>
      <c r="G2037" s="2012">
        <f t="shared" si="347"/>
        <v>0.50559393939393937</v>
      </c>
    </row>
    <row r="2038" spans="1:7" ht="17.100000000000001" hidden="1" customHeight="1">
      <c r="A2038" s="548"/>
      <c r="B2038" s="2771"/>
      <c r="C2038" s="2156" t="s">
        <v>577</v>
      </c>
      <c r="D2038" s="2163" t="s">
        <v>551</v>
      </c>
      <c r="E2038" s="2015"/>
      <c r="F2038" s="2015">
        <v>0</v>
      </c>
      <c r="G2038" s="2010" t="e">
        <f t="shared" si="347"/>
        <v>#DIV/0!</v>
      </c>
    </row>
    <row r="2039" spans="1:7" ht="17.100000000000001" hidden="1" customHeight="1">
      <c r="A2039" s="548"/>
      <c r="B2039" s="2771"/>
      <c r="C2039" s="2156" t="s">
        <v>486</v>
      </c>
      <c r="D2039" s="2163" t="s">
        <v>487</v>
      </c>
      <c r="E2039" s="2015">
        <v>5000</v>
      </c>
      <c r="F2039" s="2015">
        <v>0</v>
      </c>
      <c r="G2039" s="2010">
        <f t="shared" si="347"/>
        <v>0</v>
      </c>
    </row>
    <row r="2040" spans="1:7" ht="17.100000000000001" customHeight="1">
      <c r="A2040" s="548"/>
      <c r="B2040" s="2771"/>
      <c r="C2040" s="555" t="s">
        <v>496</v>
      </c>
      <c r="D2040" s="2044" t="s">
        <v>497</v>
      </c>
      <c r="E2040" s="2015">
        <f>120000+5000</f>
        <v>125000</v>
      </c>
      <c r="F2040" s="2015">
        <v>70923</v>
      </c>
      <c r="G2040" s="2016">
        <f t="shared" si="347"/>
        <v>0.567384</v>
      </c>
    </row>
    <row r="2041" spans="1:7" ht="17.100000000000001" customHeight="1" thickBot="1">
      <c r="A2041" s="548"/>
      <c r="B2041" s="2771"/>
      <c r="C2041" s="2049" t="s">
        <v>500</v>
      </c>
      <c r="D2041" s="2050" t="s">
        <v>501</v>
      </c>
      <c r="E2041" s="2174">
        <v>35000</v>
      </c>
      <c r="F2041" s="2174">
        <v>12500</v>
      </c>
      <c r="G2041" s="2096">
        <f t="shared" si="347"/>
        <v>0.35714285714285715</v>
      </c>
    </row>
    <row r="2042" spans="1:7" ht="17.100000000000001" hidden="1" customHeight="1" thickBot="1">
      <c r="A2042" s="548"/>
      <c r="B2042" s="741"/>
      <c r="C2042" s="3037"/>
      <c r="D2042" s="3038"/>
      <c r="E2042" s="2009"/>
      <c r="F2042" s="2009"/>
      <c r="G2042" s="2010"/>
    </row>
    <row r="2043" spans="1:7" ht="17.100000000000001" hidden="1" customHeight="1">
      <c r="A2043" s="548"/>
      <c r="B2043" s="741"/>
      <c r="C2043" s="3000" t="s">
        <v>567</v>
      </c>
      <c r="D2043" s="3000"/>
      <c r="E2043" s="2009">
        <f>E2044</f>
        <v>10000</v>
      </c>
      <c r="F2043" s="2009">
        <f t="shared" ref="F2043" si="371">F2044</f>
        <v>0</v>
      </c>
      <c r="G2043" s="2010">
        <f t="shared" si="347"/>
        <v>0</v>
      </c>
    </row>
    <row r="2044" spans="1:7" ht="28.5" hidden="1" customHeight="1">
      <c r="A2044" s="548"/>
      <c r="B2044" s="741"/>
      <c r="C2044" s="2049" t="s">
        <v>277</v>
      </c>
      <c r="D2044" s="2050" t="s">
        <v>657</v>
      </c>
      <c r="E2044" s="2009">
        <v>10000</v>
      </c>
      <c r="F2044" s="2009">
        <v>0</v>
      </c>
      <c r="G2044" s="2010">
        <f t="shared" si="347"/>
        <v>0</v>
      </c>
    </row>
    <row r="2045" spans="1:7" ht="17.100000000000001" hidden="1" customHeight="1">
      <c r="A2045" s="548"/>
      <c r="B2045" s="741"/>
      <c r="C2045" s="3031"/>
      <c r="D2045" s="3032"/>
      <c r="E2045" s="2009"/>
      <c r="F2045" s="2009"/>
      <c r="G2045" s="2010"/>
    </row>
    <row r="2046" spans="1:7" ht="17.100000000000001" hidden="1" customHeight="1">
      <c r="A2046" s="548"/>
      <c r="B2046" s="741"/>
      <c r="C2046" s="3044" t="s">
        <v>523</v>
      </c>
      <c r="D2046" s="2943"/>
      <c r="E2046" s="2075">
        <f>E2047</f>
        <v>70000</v>
      </c>
      <c r="F2046" s="2075">
        <f t="shared" ref="F2046:F2047" si="372">F2047</f>
        <v>0</v>
      </c>
      <c r="G2046" s="2076">
        <f t="shared" si="347"/>
        <v>0</v>
      </c>
    </row>
    <row r="2047" spans="1:7" ht="17.100000000000001" hidden="1" customHeight="1">
      <c r="A2047" s="548"/>
      <c r="B2047" s="741"/>
      <c r="C2047" s="2852" t="s">
        <v>524</v>
      </c>
      <c r="D2047" s="2944"/>
      <c r="E2047" s="2009">
        <f>E2048</f>
        <v>70000</v>
      </c>
      <c r="F2047" s="2009">
        <f t="shared" si="372"/>
        <v>0</v>
      </c>
      <c r="G2047" s="2010">
        <f t="shared" si="347"/>
        <v>0</v>
      </c>
    </row>
    <row r="2048" spans="1:7" ht="42.75" hidden="1" customHeight="1" thickBot="1">
      <c r="A2048" s="548"/>
      <c r="B2048" s="741"/>
      <c r="C2048" s="2049" t="s">
        <v>642</v>
      </c>
      <c r="D2048" s="2050" t="s">
        <v>643</v>
      </c>
      <c r="E2048" s="552">
        <v>70000</v>
      </c>
      <c r="F2048" s="552">
        <v>0</v>
      </c>
      <c r="G2048" s="1445">
        <f t="shared" si="347"/>
        <v>0</v>
      </c>
    </row>
    <row r="2049" spans="1:7" ht="17.100000000000001" customHeight="1" thickBot="1">
      <c r="A2049" s="545" t="s">
        <v>10</v>
      </c>
      <c r="B2049" s="546"/>
      <c r="C2049" s="1416"/>
      <c r="D2049" s="1417" t="s">
        <v>886</v>
      </c>
      <c r="E2049" s="650">
        <f>E2050+E2059+E2068+E2073+E2090+E2096+E2105+E2114+E2125+E2142</f>
        <v>89050220</v>
      </c>
      <c r="F2049" s="568">
        <f>F2050+F2059+F2068+F2073+F2090+F2096+F2105+F2114+F2125+F2142</f>
        <v>86478100</v>
      </c>
      <c r="G2049" s="2175">
        <f t="shared" ref="G2049:G2114" si="373">F2049/E2049</f>
        <v>0.97111607360431007</v>
      </c>
    </row>
    <row r="2050" spans="1:7" ht="17.100000000000001" customHeight="1" thickBot="1">
      <c r="A2050" s="548"/>
      <c r="B2050" s="559" t="s">
        <v>130</v>
      </c>
      <c r="C2050" s="560"/>
      <c r="D2050" s="561" t="s">
        <v>887</v>
      </c>
      <c r="E2050" s="562">
        <f t="shared" ref="E2050:F2050" si="374">E2051</f>
        <v>807000</v>
      </c>
      <c r="F2050" s="562">
        <f t="shared" si="374"/>
        <v>710656</v>
      </c>
      <c r="G2050" s="1478">
        <f t="shared" si="373"/>
        <v>0.88061462205700125</v>
      </c>
    </row>
    <row r="2051" spans="1:7" ht="17.100000000000001" customHeight="1">
      <c r="A2051" s="548"/>
      <c r="B2051" s="2771"/>
      <c r="C2051" s="2853" t="s">
        <v>470</v>
      </c>
      <c r="D2051" s="2853"/>
      <c r="E2051" s="549">
        <f>E2052+E2056</f>
        <v>807000</v>
      </c>
      <c r="F2051" s="549">
        <f t="shared" ref="F2051" si="375">F2052+F2056</f>
        <v>710656</v>
      </c>
      <c r="G2051" s="1424">
        <f t="shared" si="373"/>
        <v>0.88061462205700125</v>
      </c>
    </row>
    <row r="2052" spans="1:7" ht="17.100000000000001" customHeight="1">
      <c r="A2052" s="548"/>
      <c r="B2052" s="2771"/>
      <c r="C2052" s="3000" t="s">
        <v>567</v>
      </c>
      <c r="D2052" s="3000"/>
      <c r="E2052" s="2009">
        <f>SUM(E2053:E2054)</f>
        <v>617000</v>
      </c>
      <c r="F2052" s="2009">
        <f>SUM(F2053:F2054)</f>
        <v>500000</v>
      </c>
      <c r="G2052" s="2010">
        <f t="shared" si="373"/>
        <v>0.81037277147487841</v>
      </c>
    </row>
    <row r="2053" spans="1:7" ht="45.75" customHeight="1">
      <c r="A2053" s="548"/>
      <c r="B2053" s="2771"/>
      <c r="C2053" s="2049" t="s">
        <v>582</v>
      </c>
      <c r="D2053" s="2050" t="s">
        <v>583</v>
      </c>
      <c r="E2053" s="2009">
        <v>617000</v>
      </c>
      <c r="F2053" s="2009">
        <v>500000</v>
      </c>
      <c r="G2053" s="2010">
        <f t="shared" si="373"/>
        <v>0.81037277147487841</v>
      </c>
    </row>
    <row r="2054" spans="1:7" ht="25.5" hidden="1">
      <c r="A2054" s="548"/>
      <c r="B2054" s="2771"/>
      <c r="C2054" s="2056" t="s">
        <v>277</v>
      </c>
      <c r="D2054" s="651" t="s">
        <v>657</v>
      </c>
      <c r="E2054" s="564"/>
      <c r="F2054" s="564">
        <v>0</v>
      </c>
      <c r="G2054" s="2010" t="e">
        <f t="shared" si="373"/>
        <v>#DIV/0!</v>
      </c>
    </row>
    <row r="2055" spans="1:7" ht="17.100000000000001" customHeight="1">
      <c r="A2055" s="548"/>
      <c r="B2055" s="2771"/>
      <c r="C2055" s="553"/>
      <c r="D2055" s="553"/>
      <c r="E2055" s="550"/>
      <c r="F2055" s="550"/>
      <c r="G2055" s="1433"/>
    </row>
    <row r="2056" spans="1:7" ht="17.100000000000001" customHeight="1">
      <c r="A2056" s="548"/>
      <c r="B2056" s="2771"/>
      <c r="C2056" s="2999" t="s">
        <v>520</v>
      </c>
      <c r="D2056" s="2999"/>
      <c r="E2056" s="2009">
        <f t="shared" ref="E2056:F2056" si="376">SUM(E2057:E2058)</f>
        <v>190000</v>
      </c>
      <c r="F2056" s="2009">
        <f t="shared" si="376"/>
        <v>210656</v>
      </c>
      <c r="G2056" s="2010">
        <f t="shared" si="373"/>
        <v>1.1087157894736843</v>
      </c>
    </row>
    <row r="2057" spans="1:7" ht="17.100000000000001" customHeight="1">
      <c r="A2057" s="548"/>
      <c r="B2057" s="2771"/>
      <c r="C2057" s="2049" t="s">
        <v>796</v>
      </c>
      <c r="D2057" s="2050" t="s">
        <v>797</v>
      </c>
      <c r="E2057" s="2009">
        <v>156000</v>
      </c>
      <c r="F2057" s="2009">
        <v>187400</v>
      </c>
      <c r="G2057" s="2010">
        <f t="shared" si="373"/>
        <v>1.2012820512820512</v>
      </c>
    </row>
    <row r="2058" spans="1:7" ht="17.100000000000001" customHeight="1" thickBot="1">
      <c r="A2058" s="548"/>
      <c r="B2058" s="2771"/>
      <c r="C2058" s="2043" t="s">
        <v>804</v>
      </c>
      <c r="D2058" s="2044" t="s">
        <v>805</v>
      </c>
      <c r="E2058" s="2015">
        <v>34000</v>
      </c>
      <c r="F2058" s="2015">
        <v>23256</v>
      </c>
      <c r="G2058" s="2016">
        <f t="shared" si="373"/>
        <v>0.68400000000000005</v>
      </c>
    </row>
    <row r="2059" spans="1:7" ht="17.100000000000001" customHeight="1" thickBot="1">
      <c r="A2059" s="548"/>
      <c r="B2059" s="559" t="s">
        <v>888</v>
      </c>
      <c r="C2059" s="560"/>
      <c r="D2059" s="561" t="s">
        <v>889</v>
      </c>
      <c r="E2059" s="562">
        <f t="shared" ref="E2059:F2059" si="377">E2060+E2065</f>
        <v>11228055</v>
      </c>
      <c r="F2059" s="562">
        <f t="shared" si="377"/>
        <v>9493838</v>
      </c>
      <c r="G2059" s="1478">
        <f t="shared" si="373"/>
        <v>0.84554608968338685</v>
      </c>
    </row>
    <row r="2060" spans="1:7" ht="17.100000000000001" customHeight="1">
      <c r="A2060" s="548"/>
      <c r="B2060" s="2771"/>
      <c r="C2060" s="2853" t="s">
        <v>470</v>
      </c>
      <c r="D2060" s="2853"/>
      <c r="E2060" s="549">
        <f t="shared" ref="E2060:F2060" si="378">E2061</f>
        <v>6228055</v>
      </c>
      <c r="F2060" s="549">
        <f t="shared" si="378"/>
        <v>7024754</v>
      </c>
      <c r="G2060" s="1424">
        <f t="shared" si="373"/>
        <v>1.1279209962018639</v>
      </c>
    </row>
    <row r="2061" spans="1:7" ht="17.100000000000001" customHeight="1">
      <c r="A2061" s="548"/>
      <c r="B2061" s="2771"/>
      <c r="C2061" s="3000" t="s">
        <v>567</v>
      </c>
      <c r="D2061" s="3000"/>
      <c r="E2061" s="2009">
        <f>E2062+E2063</f>
        <v>6228055</v>
      </c>
      <c r="F2061" s="2009">
        <f t="shared" ref="F2061" si="379">F2062+F2063</f>
        <v>7024754</v>
      </c>
      <c r="G2061" s="2010">
        <f t="shared" si="373"/>
        <v>1.1279209962018639</v>
      </c>
    </row>
    <row r="2062" spans="1:7" ht="17.100000000000001" customHeight="1">
      <c r="A2062" s="548"/>
      <c r="B2062" s="2771"/>
      <c r="C2062" s="2049" t="s">
        <v>890</v>
      </c>
      <c r="D2062" s="2050" t="s">
        <v>891</v>
      </c>
      <c r="E2062" s="2009">
        <v>5091055</v>
      </c>
      <c r="F2062" s="2009">
        <v>5824754</v>
      </c>
      <c r="G2062" s="2010">
        <f t="shared" si="373"/>
        <v>1.1441153159806758</v>
      </c>
    </row>
    <row r="2063" spans="1:7" ht="27.75" customHeight="1">
      <c r="A2063" s="548"/>
      <c r="B2063" s="2771"/>
      <c r="C2063" s="2049" t="s">
        <v>892</v>
      </c>
      <c r="D2063" s="2050" t="s">
        <v>893</v>
      </c>
      <c r="E2063" s="2009">
        <v>1137000</v>
      </c>
      <c r="F2063" s="2009">
        <v>1200000</v>
      </c>
      <c r="G2063" s="2010">
        <f t="shared" si="373"/>
        <v>1.0554089709762533</v>
      </c>
    </row>
    <row r="2064" spans="1:7">
      <c r="A2064" s="548"/>
      <c r="B2064" s="741"/>
      <c r="C2064" s="2049"/>
      <c r="D2064" s="2050"/>
      <c r="E2064" s="2009"/>
      <c r="F2064" s="2009"/>
      <c r="G2064" s="2010"/>
    </row>
    <row r="2065" spans="1:7" ht="15">
      <c r="A2065" s="548"/>
      <c r="B2065" s="741"/>
      <c r="C2065" s="2988" t="s">
        <v>523</v>
      </c>
      <c r="D2065" s="3045"/>
      <c r="E2065" s="2009">
        <f t="shared" ref="E2065:F2066" si="380">E2066</f>
        <v>5000000</v>
      </c>
      <c r="F2065" s="2009">
        <f t="shared" si="380"/>
        <v>2469084</v>
      </c>
      <c r="G2065" s="2010">
        <f t="shared" si="373"/>
        <v>0.4938168</v>
      </c>
    </row>
    <row r="2066" spans="1:7" ht="15">
      <c r="A2066" s="548"/>
      <c r="B2066" s="741"/>
      <c r="C2066" s="2999" t="s">
        <v>524</v>
      </c>
      <c r="D2066" s="3046"/>
      <c r="E2066" s="2009">
        <f t="shared" si="380"/>
        <v>5000000</v>
      </c>
      <c r="F2066" s="2009">
        <f t="shared" si="380"/>
        <v>2469084</v>
      </c>
      <c r="G2066" s="2010">
        <f t="shared" si="373"/>
        <v>0.4938168</v>
      </c>
    </row>
    <row r="2067" spans="1:7" ht="42" customHeight="1" thickBot="1">
      <c r="A2067" s="548"/>
      <c r="B2067" s="741"/>
      <c r="C2067" s="2091" t="s">
        <v>811</v>
      </c>
      <c r="D2067" s="2176" t="s">
        <v>812</v>
      </c>
      <c r="E2067" s="2015">
        <v>5000000</v>
      </c>
      <c r="F2067" s="2015">
        <v>2469084</v>
      </c>
      <c r="G2067" s="2016">
        <f t="shared" si="373"/>
        <v>0.4938168</v>
      </c>
    </row>
    <row r="2068" spans="1:7" ht="17.100000000000001" customHeight="1" thickBot="1">
      <c r="A2068" s="548"/>
      <c r="B2068" s="559" t="s">
        <v>894</v>
      </c>
      <c r="C2068" s="560"/>
      <c r="D2068" s="561" t="s">
        <v>452</v>
      </c>
      <c r="E2068" s="562">
        <f>E2069</f>
        <v>7109000</v>
      </c>
      <c r="F2068" s="562">
        <f t="shared" ref="F2068" si="381">F2069</f>
        <v>7220999</v>
      </c>
      <c r="G2068" s="1478">
        <f t="shared" si="373"/>
        <v>1.0157545365030243</v>
      </c>
    </row>
    <row r="2069" spans="1:7" ht="17.100000000000001" customHeight="1">
      <c r="A2069" s="548"/>
      <c r="B2069" s="2771"/>
      <c r="C2069" s="2853" t="s">
        <v>470</v>
      </c>
      <c r="D2069" s="2853"/>
      <c r="E2069" s="549">
        <f t="shared" ref="E2069:F2069" si="382">E2070</f>
        <v>7109000</v>
      </c>
      <c r="F2069" s="549">
        <f t="shared" si="382"/>
        <v>7220999</v>
      </c>
      <c r="G2069" s="1424">
        <f t="shared" si="373"/>
        <v>1.0157545365030243</v>
      </c>
    </row>
    <row r="2070" spans="1:7" ht="17.100000000000001" customHeight="1">
      <c r="A2070" s="548"/>
      <c r="B2070" s="2771"/>
      <c r="C2070" s="3000" t="s">
        <v>567</v>
      </c>
      <c r="D2070" s="3000"/>
      <c r="E2070" s="2009">
        <f t="shared" ref="E2070:F2070" si="383">SUM(E2071:E2072)</f>
        <v>7109000</v>
      </c>
      <c r="F2070" s="2009">
        <f t="shared" si="383"/>
        <v>7220999</v>
      </c>
      <c r="G2070" s="2010">
        <f t="shared" si="373"/>
        <v>1.0157545365030243</v>
      </c>
    </row>
    <row r="2071" spans="1:7" ht="17.100000000000001" customHeight="1">
      <c r="A2071" s="548"/>
      <c r="B2071" s="2771"/>
      <c r="C2071" s="2049" t="s">
        <v>890</v>
      </c>
      <c r="D2071" s="2050" t="s">
        <v>891</v>
      </c>
      <c r="E2071" s="2009">
        <v>6394000</v>
      </c>
      <c r="F2071" s="2009">
        <v>7070999</v>
      </c>
      <c r="G2071" s="2010">
        <f t="shared" si="373"/>
        <v>1.1058803565842978</v>
      </c>
    </row>
    <row r="2072" spans="1:7" ht="28.5" customHeight="1" thickBot="1">
      <c r="A2072" s="548"/>
      <c r="B2072" s="746"/>
      <c r="C2072" s="2049" t="s">
        <v>892</v>
      </c>
      <c r="D2072" s="2050" t="s">
        <v>893</v>
      </c>
      <c r="E2072" s="2009">
        <v>715000</v>
      </c>
      <c r="F2072" s="2009">
        <v>150000</v>
      </c>
      <c r="G2072" s="2010">
        <f t="shared" si="373"/>
        <v>0.20979020979020979</v>
      </c>
    </row>
    <row r="2073" spans="1:7" ht="17.100000000000001" customHeight="1" thickBot="1">
      <c r="A2073" s="548"/>
      <c r="B2073" s="559" t="s">
        <v>895</v>
      </c>
      <c r="C2073" s="560"/>
      <c r="D2073" s="561" t="s">
        <v>453</v>
      </c>
      <c r="E2073" s="562">
        <f>E2074+E2080</f>
        <v>9608386</v>
      </c>
      <c r="F2073" s="562">
        <f t="shared" ref="F2073" si="384">F2074+F2080</f>
        <v>13443413</v>
      </c>
      <c r="G2073" s="1478">
        <f t="shared" si="373"/>
        <v>1.3991333195814573</v>
      </c>
    </row>
    <row r="2074" spans="1:7" ht="17.100000000000001" customHeight="1">
      <c r="A2074" s="548"/>
      <c r="B2074" s="2771"/>
      <c r="C2074" s="2853" t="s">
        <v>470</v>
      </c>
      <c r="D2074" s="2853"/>
      <c r="E2074" s="549">
        <f t="shared" ref="E2074:F2074" si="385">E2075</f>
        <v>8018694</v>
      </c>
      <c r="F2074" s="549">
        <f t="shared" si="385"/>
        <v>8565117</v>
      </c>
      <c r="G2074" s="1424">
        <f t="shared" si="373"/>
        <v>1.0681436403484159</v>
      </c>
    </row>
    <row r="2075" spans="1:7" ht="17.100000000000001" customHeight="1">
      <c r="A2075" s="548"/>
      <c r="B2075" s="2771"/>
      <c r="C2075" s="3000" t="s">
        <v>567</v>
      </c>
      <c r="D2075" s="3000"/>
      <c r="E2075" s="2009">
        <f>SUM(E2076:E2078)</f>
        <v>8018694</v>
      </c>
      <c r="F2075" s="2009">
        <f t="shared" ref="F2075" si="386">SUM(F2076:F2078)</f>
        <v>8565117</v>
      </c>
      <c r="G2075" s="2010">
        <f t="shared" si="373"/>
        <v>1.0681436403484159</v>
      </c>
    </row>
    <row r="2076" spans="1:7" ht="17.100000000000001" customHeight="1">
      <c r="A2076" s="548"/>
      <c r="B2076" s="2771"/>
      <c r="C2076" s="2049" t="s">
        <v>890</v>
      </c>
      <c r="D2076" s="2050" t="s">
        <v>891</v>
      </c>
      <c r="E2076" s="2009">
        <v>6763668</v>
      </c>
      <c r="F2076" s="2009">
        <v>7918266</v>
      </c>
      <c r="G2076" s="2010">
        <f t="shared" si="373"/>
        <v>1.1707058950853295</v>
      </c>
    </row>
    <row r="2077" spans="1:7" ht="30.75" hidden="1" customHeight="1">
      <c r="A2077" s="548"/>
      <c r="B2077" s="2771"/>
      <c r="C2077" s="2049" t="s">
        <v>277</v>
      </c>
      <c r="D2077" s="2050" t="s">
        <v>657</v>
      </c>
      <c r="E2077" s="2009">
        <v>181868</v>
      </c>
      <c r="F2077" s="2009">
        <v>0</v>
      </c>
      <c r="G2077" s="2010">
        <f t="shared" si="373"/>
        <v>0</v>
      </c>
    </row>
    <row r="2078" spans="1:7" ht="24.75" customHeight="1">
      <c r="A2078" s="548"/>
      <c r="B2078" s="2771"/>
      <c r="C2078" s="2049" t="s">
        <v>892</v>
      </c>
      <c r="D2078" s="2050" t="s">
        <v>893</v>
      </c>
      <c r="E2078" s="2009">
        <v>1073158</v>
      </c>
      <c r="F2078" s="2009">
        <v>646851</v>
      </c>
      <c r="G2078" s="2010">
        <f t="shared" si="373"/>
        <v>0.60275467358953672</v>
      </c>
    </row>
    <row r="2079" spans="1:7" ht="15">
      <c r="A2079" s="548"/>
      <c r="B2079" s="2771"/>
      <c r="C2079" s="553"/>
      <c r="D2079" s="749"/>
      <c r="E2079" s="557"/>
      <c r="F2079" s="557"/>
      <c r="G2079" s="1460"/>
    </row>
    <row r="2080" spans="1:7" ht="15">
      <c r="A2080" s="548"/>
      <c r="B2080" s="2771"/>
      <c r="C2080" s="2988" t="s">
        <v>523</v>
      </c>
      <c r="D2080" s="3045"/>
      <c r="E2080" s="2075">
        <f>SUM(E2081)</f>
        <v>1589692</v>
      </c>
      <c r="F2080" s="2075">
        <f t="shared" ref="F2080" si="387">SUM(F2081)</f>
        <v>4878296</v>
      </c>
      <c r="G2080" s="2076">
        <f t="shared" si="373"/>
        <v>3.0687051328181809</v>
      </c>
    </row>
    <row r="2081" spans="1:7" ht="15">
      <c r="A2081" s="548"/>
      <c r="B2081" s="2771"/>
      <c r="C2081" s="2999" t="s">
        <v>524</v>
      </c>
      <c r="D2081" s="3046"/>
      <c r="E2081" s="2009">
        <f>SUM(E2082:E2085)</f>
        <v>1589692</v>
      </c>
      <c r="F2081" s="2009">
        <f t="shared" ref="F2081" si="388">SUM(F2082:F2085)</f>
        <v>4878296</v>
      </c>
      <c r="G2081" s="2010">
        <f t="shared" si="373"/>
        <v>3.0687051328181809</v>
      </c>
    </row>
    <row r="2082" spans="1:7" ht="38.25">
      <c r="A2082" s="548"/>
      <c r="B2082" s="2771"/>
      <c r="C2082" s="2083" t="s">
        <v>811</v>
      </c>
      <c r="D2082" s="2177" t="s">
        <v>812</v>
      </c>
      <c r="E2082" s="2009">
        <v>1457903</v>
      </c>
      <c r="F2082" s="2009">
        <v>1676229</v>
      </c>
      <c r="G2082" s="2010">
        <f t="shared" si="373"/>
        <v>1.1497534472458044</v>
      </c>
    </row>
    <row r="2083" spans="1:7" ht="40.5" hidden="1" customHeight="1">
      <c r="A2083" s="548"/>
      <c r="B2083" s="741"/>
      <c r="C2083" s="748" t="s">
        <v>642</v>
      </c>
      <c r="D2083" s="2178" t="s">
        <v>643</v>
      </c>
      <c r="E2083" s="2009">
        <v>65000</v>
      </c>
      <c r="F2083" s="2009">
        <v>0</v>
      </c>
      <c r="G2083" s="1438">
        <f t="shared" si="373"/>
        <v>0</v>
      </c>
    </row>
    <row r="2084" spans="1:7" ht="38.25" customHeight="1">
      <c r="A2084" s="548"/>
      <c r="B2084" s="741"/>
      <c r="C2084" s="2179" t="s">
        <v>896</v>
      </c>
      <c r="D2084" s="2180" t="s">
        <v>812</v>
      </c>
      <c r="E2084" s="2009">
        <v>62091</v>
      </c>
      <c r="F2084" s="2009">
        <v>3202067</v>
      </c>
      <c r="G2084" s="2010">
        <f t="shared" si="373"/>
        <v>51.570549677086859</v>
      </c>
    </row>
    <row r="2085" spans="1:7" ht="27" hidden="1" customHeight="1">
      <c r="A2085" s="548"/>
      <c r="B2085" s="741"/>
      <c r="C2085" s="2181" t="s">
        <v>455</v>
      </c>
      <c r="D2085" s="2182" t="s">
        <v>897</v>
      </c>
      <c r="E2085" s="2009">
        <v>4698</v>
      </c>
      <c r="F2085" s="2009">
        <v>0</v>
      </c>
      <c r="G2085" s="2046">
        <f t="shared" si="373"/>
        <v>0</v>
      </c>
    </row>
    <row r="2086" spans="1:7">
      <c r="A2086" s="548"/>
      <c r="B2086" s="741"/>
      <c r="C2086" s="2179"/>
      <c r="D2086" s="2183"/>
      <c r="E2086" s="2009"/>
      <c r="F2086" s="2009"/>
      <c r="G2086" s="2046"/>
    </row>
    <row r="2087" spans="1:7" ht="15.75" customHeight="1">
      <c r="A2087" s="548"/>
      <c r="B2087" s="741"/>
      <c r="C2087" s="3047" t="s">
        <v>534</v>
      </c>
      <c r="D2087" s="3048"/>
      <c r="E2087" s="2009">
        <f>E2089+E2088</f>
        <v>661784</v>
      </c>
      <c r="F2087" s="2009">
        <f t="shared" ref="F2087" si="389">F2089+F2088</f>
        <v>4041296</v>
      </c>
      <c r="G2087" s="2010">
        <f t="shared" si="373"/>
        <v>6.1066692455544409</v>
      </c>
    </row>
    <row r="2088" spans="1:7" ht="39" customHeight="1">
      <c r="A2088" s="548"/>
      <c r="B2088" s="741"/>
      <c r="C2088" s="2089" t="s">
        <v>811</v>
      </c>
      <c r="D2088" s="606" t="s">
        <v>812</v>
      </c>
      <c r="E2088" s="2045">
        <v>599693</v>
      </c>
      <c r="F2088" s="2184">
        <v>839229</v>
      </c>
      <c r="G2088" s="2185">
        <f t="shared" si="373"/>
        <v>1.3994310422166008</v>
      </c>
    </row>
    <row r="2089" spans="1:7" ht="39" thickBot="1">
      <c r="A2089" s="548"/>
      <c r="B2089" s="741"/>
      <c r="C2089" s="652" t="s">
        <v>896</v>
      </c>
      <c r="D2089" s="2186" t="s">
        <v>812</v>
      </c>
      <c r="E2089" s="552">
        <v>62091</v>
      </c>
      <c r="F2089" s="552">
        <v>3202067</v>
      </c>
      <c r="G2089" s="1445">
        <f t="shared" si="373"/>
        <v>51.570549677086859</v>
      </c>
    </row>
    <row r="2090" spans="1:7" ht="17.100000000000001" customHeight="1" thickBot="1">
      <c r="A2090" s="548"/>
      <c r="B2090" s="559" t="s">
        <v>898</v>
      </c>
      <c r="C2090" s="560"/>
      <c r="D2090" s="561" t="s">
        <v>899</v>
      </c>
      <c r="E2090" s="562">
        <f t="shared" ref="E2090:F2091" si="390">E2091</f>
        <v>642040</v>
      </c>
      <c r="F2090" s="562">
        <f t="shared" si="390"/>
        <v>638868</v>
      </c>
      <c r="G2090" s="1478">
        <f t="shared" si="373"/>
        <v>0.99505949785060122</v>
      </c>
    </row>
    <row r="2091" spans="1:7" ht="17.100000000000001" customHeight="1">
      <c r="A2091" s="548"/>
      <c r="B2091" s="2771"/>
      <c r="C2091" s="2853" t="s">
        <v>470</v>
      </c>
      <c r="D2091" s="2853"/>
      <c r="E2091" s="549">
        <f t="shared" si="390"/>
        <v>642040</v>
      </c>
      <c r="F2091" s="549">
        <f t="shared" si="390"/>
        <v>638868</v>
      </c>
      <c r="G2091" s="1424">
        <f t="shared" si="373"/>
        <v>0.99505949785060122</v>
      </c>
    </row>
    <row r="2092" spans="1:7" ht="17.100000000000001" customHeight="1">
      <c r="A2092" s="548"/>
      <c r="B2092" s="2771"/>
      <c r="C2092" s="3049" t="s">
        <v>567</v>
      </c>
      <c r="D2092" s="3049"/>
      <c r="E2092" s="2171">
        <f t="shared" ref="E2092:F2092" si="391">E2094+E2095</f>
        <v>642040</v>
      </c>
      <c r="F2092" s="2171">
        <f t="shared" si="391"/>
        <v>638868</v>
      </c>
      <c r="G2092" s="2172">
        <f t="shared" si="373"/>
        <v>0.99505949785060122</v>
      </c>
    </row>
    <row r="2093" spans="1:7" ht="27" hidden="1" customHeight="1">
      <c r="A2093" s="548"/>
      <c r="B2093" s="2771"/>
      <c r="C2093" s="2187" t="s">
        <v>277</v>
      </c>
      <c r="D2093" s="2188" t="s">
        <v>657</v>
      </c>
      <c r="E2093" s="2171"/>
      <c r="F2093" s="2171">
        <v>0</v>
      </c>
      <c r="G2093" s="2172" t="e">
        <f t="shared" si="373"/>
        <v>#DIV/0!</v>
      </c>
    </row>
    <row r="2094" spans="1:7" ht="17.100000000000001" customHeight="1" thickBot="1">
      <c r="A2094" s="548"/>
      <c r="B2094" s="2771"/>
      <c r="C2094" s="2189" t="s">
        <v>890</v>
      </c>
      <c r="D2094" s="2190" t="s">
        <v>891</v>
      </c>
      <c r="E2094" s="2171">
        <v>642040</v>
      </c>
      <c r="F2094" s="2171">
        <v>638868</v>
      </c>
      <c r="G2094" s="2172">
        <f t="shared" si="373"/>
        <v>0.99505949785060122</v>
      </c>
    </row>
    <row r="2095" spans="1:7" ht="27" hidden="1" customHeight="1" thickBot="1">
      <c r="A2095" s="548"/>
      <c r="B2095" s="2771"/>
      <c r="C2095" s="2191" t="s">
        <v>892</v>
      </c>
      <c r="D2095" s="2192" t="s">
        <v>893</v>
      </c>
      <c r="E2095" s="2193"/>
      <c r="F2095" s="2193">
        <v>0</v>
      </c>
      <c r="G2095" s="2194" t="e">
        <f t="shared" si="373"/>
        <v>#DIV/0!</v>
      </c>
    </row>
    <row r="2096" spans="1:7" ht="17.100000000000001" customHeight="1" thickBot="1">
      <c r="A2096" s="548"/>
      <c r="B2096" s="559" t="s">
        <v>900</v>
      </c>
      <c r="C2096" s="560"/>
      <c r="D2096" s="561" t="s">
        <v>901</v>
      </c>
      <c r="E2096" s="562">
        <f t="shared" ref="E2096:F2096" si="392">E2097+E2102</f>
        <v>3270159</v>
      </c>
      <c r="F2096" s="562">
        <f t="shared" si="392"/>
        <v>2609970</v>
      </c>
      <c r="G2096" s="1478">
        <f t="shared" si="373"/>
        <v>0.79811715577132492</v>
      </c>
    </row>
    <row r="2097" spans="1:7" ht="17.100000000000001" customHeight="1">
      <c r="A2097" s="548"/>
      <c r="B2097" s="2898"/>
      <c r="C2097" s="2783" t="s">
        <v>470</v>
      </c>
      <c r="D2097" s="2783"/>
      <c r="E2097" s="627">
        <f t="shared" ref="E2097:F2097" si="393">E2098</f>
        <v>2147675</v>
      </c>
      <c r="F2097" s="627">
        <f t="shared" si="393"/>
        <v>2129970</v>
      </c>
      <c r="G2097" s="1810">
        <f t="shared" si="373"/>
        <v>0.9917562014736867</v>
      </c>
    </row>
    <row r="2098" spans="1:7" ht="17.100000000000001" customHeight="1">
      <c r="A2098" s="548"/>
      <c r="B2098" s="2771"/>
      <c r="C2098" s="3049" t="s">
        <v>567</v>
      </c>
      <c r="D2098" s="3049"/>
      <c r="E2098" s="2171">
        <f t="shared" ref="E2098:F2098" si="394">SUM(E2099:E2100)</f>
        <v>2147675</v>
      </c>
      <c r="F2098" s="2171">
        <f t="shared" si="394"/>
        <v>2129970</v>
      </c>
      <c r="G2098" s="2172">
        <f t="shared" si="373"/>
        <v>0.9917562014736867</v>
      </c>
    </row>
    <row r="2099" spans="1:7" ht="17.100000000000001" customHeight="1">
      <c r="A2099" s="548"/>
      <c r="B2099" s="2771"/>
      <c r="C2099" s="2189" t="s">
        <v>890</v>
      </c>
      <c r="D2099" s="2190" t="s">
        <v>891</v>
      </c>
      <c r="E2099" s="2171">
        <v>1930900</v>
      </c>
      <c r="F2099" s="2171">
        <v>2008983</v>
      </c>
      <c r="G2099" s="2172">
        <f t="shared" si="373"/>
        <v>1.0404386555492258</v>
      </c>
    </row>
    <row r="2100" spans="1:7" ht="25.5">
      <c r="A2100" s="548"/>
      <c r="B2100" s="2771"/>
      <c r="C2100" s="2191" t="s">
        <v>892</v>
      </c>
      <c r="D2100" s="2192" t="s">
        <v>893</v>
      </c>
      <c r="E2100" s="2193">
        <v>216775</v>
      </c>
      <c r="F2100" s="2193">
        <v>120987</v>
      </c>
      <c r="G2100" s="2194">
        <f t="shared" si="373"/>
        <v>0.55812247722292696</v>
      </c>
    </row>
    <row r="2101" spans="1:7">
      <c r="A2101" s="548"/>
      <c r="B2101" s="2771"/>
      <c r="C2101" s="2067"/>
      <c r="D2101" s="2195"/>
      <c r="E2101" s="2196"/>
      <c r="F2101" s="2196"/>
      <c r="G2101" s="2197"/>
    </row>
    <row r="2102" spans="1:7" ht="16.5" customHeight="1">
      <c r="A2102" s="548"/>
      <c r="B2102" s="2771"/>
      <c r="C2102" s="2879" t="s">
        <v>523</v>
      </c>
      <c r="D2102" s="2879"/>
      <c r="E2102" s="549">
        <f t="shared" ref="E2102:F2103" si="395">E2103</f>
        <v>1122484</v>
      </c>
      <c r="F2102" s="549">
        <f t="shared" si="395"/>
        <v>480000</v>
      </c>
      <c r="G2102" s="1424">
        <f t="shared" si="373"/>
        <v>0.42762302179808354</v>
      </c>
    </row>
    <row r="2103" spans="1:7" ht="15.75" customHeight="1">
      <c r="A2103" s="548"/>
      <c r="B2103" s="2771"/>
      <c r="C2103" s="3052" t="s">
        <v>641</v>
      </c>
      <c r="D2103" s="3052"/>
      <c r="E2103" s="2171">
        <f t="shared" si="395"/>
        <v>1122484</v>
      </c>
      <c r="F2103" s="2171">
        <f t="shared" si="395"/>
        <v>480000</v>
      </c>
      <c r="G2103" s="2172">
        <f t="shared" si="373"/>
        <v>0.42762302179808354</v>
      </c>
    </row>
    <row r="2104" spans="1:7" ht="39" thickBot="1">
      <c r="A2104" s="548"/>
      <c r="B2104" s="2951"/>
      <c r="C2104" s="2198" t="s">
        <v>811</v>
      </c>
      <c r="D2104" s="2199" t="s">
        <v>812</v>
      </c>
      <c r="E2104" s="552">
        <v>1122484</v>
      </c>
      <c r="F2104" s="552">
        <v>480000</v>
      </c>
      <c r="G2104" s="1445">
        <f t="shared" si="373"/>
        <v>0.42762302179808354</v>
      </c>
    </row>
    <row r="2105" spans="1:7" ht="17.100000000000001" customHeight="1" thickBot="1">
      <c r="A2105" s="548"/>
      <c r="B2105" s="559" t="s">
        <v>11</v>
      </c>
      <c r="C2105" s="560"/>
      <c r="D2105" s="561" t="s">
        <v>12</v>
      </c>
      <c r="E2105" s="562">
        <f>SUM(E2106+E2111)</f>
        <v>8809895</v>
      </c>
      <c r="F2105" s="562">
        <f t="shared" ref="F2105" si="396">SUM(F2106+F2111)</f>
        <v>9239271</v>
      </c>
      <c r="G2105" s="1478">
        <f t="shared" si="373"/>
        <v>1.0487379247993307</v>
      </c>
    </row>
    <row r="2106" spans="1:7" ht="17.100000000000001" customHeight="1">
      <c r="A2106" s="548"/>
      <c r="B2106" s="2771"/>
      <c r="C2106" s="2853" t="s">
        <v>470</v>
      </c>
      <c r="D2106" s="2853"/>
      <c r="E2106" s="549">
        <f t="shared" ref="E2106:F2106" si="397">E2107</f>
        <v>8598925</v>
      </c>
      <c r="F2106" s="549">
        <f t="shared" si="397"/>
        <v>8891271</v>
      </c>
      <c r="G2106" s="1424">
        <f t="shared" si="373"/>
        <v>1.0339979706765672</v>
      </c>
    </row>
    <row r="2107" spans="1:7" ht="17.100000000000001" customHeight="1">
      <c r="A2107" s="548"/>
      <c r="B2107" s="2771"/>
      <c r="C2107" s="3049" t="s">
        <v>567</v>
      </c>
      <c r="D2107" s="3049"/>
      <c r="E2107" s="2171">
        <f t="shared" ref="E2107:F2107" si="398">SUM(E2108:E2109)</f>
        <v>8598925</v>
      </c>
      <c r="F2107" s="2171">
        <f t="shared" si="398"/>
        <v>8891271</v>
      </c>
      <c r="G2107" s="2172">
        <f t="shared" si="373"/>
        <v>1.0339979706765672</v>
      </c>
    </row>
    <row r="2108" spans="1:7" ht="17.100000000000001" customHeight="1">
      <c r="A2108" s="548"/>
      <c r="B2108" s="2771"/>
      <c r="C2108" s="2189" t="s">
        <v>890</v>
      </c>
      <c r="D2108" s="2190" t="s">
        <v>891</v>
      </c>
      <c r="E2108" s="2171">
        <v>8309140</v>
      </c>
      <c r="F2108" s="2171">
        <v>8783271</v>
      </c>
      <c r="G2108" s="2172">
        <f t="shared" si="373"/>
        <v>1.0570613806001583</v>
      </c>
    </row>
    <row r="2109" spans="1:7" ht="25.5">
      <c r="A2109" s="548"/>
      <c r="B2109" s="2771"/>
      <c r="C2109" s="2191" t="s">
        <v>892</v>
      </c>
      <c r="D2109" s="2192" t="s">
        <v>893</v>
      </c>
      <c r="E2109" s="2193">
        <v>289785</v>
      </c>
      <c r="F2109" s="2193">
        <v>108000</v>
      </c>
      <c r="G2109" s="2194">
        <f t="shared" si="373"/>
        <v>0.3726900978311507</v>
      </c>
    </row>
    <row r="2110" spans="1:7">
      <c r="A2110" s="548"/>
      <c r="B2110" s="741"/>
      <c r="C2110" s="3050"/>
      <c r="D2110" s="3051"/>
      <c r="E2110" s="2200"/>
      <c r="F2110" s="2200"/>
      <c r="G2110" s="2201"/>
    </row>
    <row r="2111" spans="1:7" ht="16.5" customHeight="1">
      <c r="A2111" s="548"/>
      <c r="B2111" s="741"/>
      <c r="C2111" s="2879" t="s">
        <v>523</v>
      </c>
      <c r="D2111" s="2879"/>
      <c r="E2111" s="549">
        <f>E2112</f>
        <v>210970</v>
      </c>
      <c r="F2111" s="549">
        <f t="shared" ref="F2111" si="399">F2112</f>
        <v>348000</v>
      </c>
      <c r="G2111" s="1424">
        <f t="shared" si="373"/>
        <v>1.6495236289519837</v>
      </c>
    </row>
    <row r="2112" spans="1:7" ht="16.5" customHeight="1">
      <c r="A2112" s="548"/>
      <c r="B2112" s="741"/>
      <c r="C2112" s="3052" t="s">
        <v>641</v>
      </c>
      <c r="D2112" s="3052"/>
      <c r="E2112" s="2171">
        <f t="shared" ref="E2112:F2112" si="400">E2113</f>
        <v>210970</v>
      </c>
      <c r="F2112" s="2171">
        <f t="shared" si="400"/>
        <v>348000</v>
      </c>
      <c r="G2112" s="2172">
        <f t="shared" si="373"/>
        <v>1.6495236289519837</v>
      </c>
    </row>
    <row r="2113" spans="1:7" ht="39" thickBot="1">
      <c r="A2113" s="548"/>
      <c r="B2113" s="741"/>
      <c r="C2113" s="2191" t="s">
        <v>811</v>
      </c>
      <c r="D2113" s="2192" t="s">
        <v>812</v>
      </c>
      <c r="E2113" s="2193">
        <v>210970</v>
      </c>
      <c r="F2113" s="2193">
        <v>348000</v>
      </c>
      <c r="G2113" s="2194">
        <f t="shared" si="373"/>
        <v>1.6495236289519837</v>
      </c>
    </row>
    <row r="2114" spans="1:7" ht="17.100000000000001" customHeight="1" thickBot="1">
      <c r="A2114" s="548"/>
      <c r="B2114" s="559" t="s">
        <v>902</v>
      </c>
      <c r="C2114" s="560"/>
      <c r="D2114" s="561" t="s">
        <v>459</v>
      </c>
      <c r="E2114" s="562">
        <f t="shared" ref="E2114:F2114" si="401">E2115+E2121</f>
        <v>37663041</v>
      </c>
      <c r="F2114" s="562">
        <f t="shared" si="401"/>
        <v>34664387</v>
      </c>
      <c r="G2114" s="1478">
        <f t="shared" si="373"/>
        <v>0.92038205305832843</v>
      </c>
    </row>
    <row r="2115" spans="1:7" ht="17.100000000000001" customHeight="1">
      <c r="A2115" s="548"/>
      <c r="B2115" s="2771"/>
      <c r="C2115" s="2853" t="s">
        <v>470</v>
      </c>
      <c r="D2115" s="2853"/>
      <c r="E2115" s="549">
        <f t="shared" ref="E2115:F2115" si="402">E2116</f>
        <v>26778122</v>
      </c>
      <c r="F2115" s="549">
        <f t="shared" si="402"/>
        <v>26852063</v>
      </c>
      <c r="G2115" s="1424">
        <f t="shared" ref="G2115:G2190" si="403">F2115/E2115</f>
        <v>1.0027612466624807</v>
      </c>
    </row>
    <row r="2116" spans="1:7" ht="17.100000000000001" customHeight="1">
      <c r="A2116" s="548"/>
      <c r="B2116" s="2771"/>
      <c r="C2116" s="3049" t="s">
        <v>567</v>
      </c>
      <c r="D2116" s="3049"/>
      <c r="E2116" s="2171">
        <f t="shared" ref="E2116:F2116" si="404">SUM(E2117:E2119)</f>
        <v>26778122</v>
      </c>
      <c r="F2116" s="2171">
        <f t="shared" si="404"/>
        <v>26852063</v>
      </c>
      <c r="G2116" s="2172">
        <f t="shared" si="403"/>
        <v>1.0027612466624807</v>
      </c>
    </row>
    <row r="2117" spans="1:7" ht="17.100000000000001" customHeight="1">
      <c r="A2117" s="548"/>
      <c r="B2117" s="2771"/>
      <c r="C2117" s="2189" t="s">
        <v>890</v>
      </c>
      <c r="D2117" s="2190" t="s">
        <v>891</v>
      </c>
      <c r="E2117" s="2171">
        <v>24167711</v>
      </c>
      <c r="F2117" s="2171">
        <v>26320390</v>
      </c>
      <c r="G2117" s="2172">
        <f t="shared" si="403"/>
        <v>1.0890725232522021</v>
      </c>
    </row>
    <row r="2118" spans="1:7" ht="29.25" hidden="1" customHeight="1">
      <c r="A2118" s="548"/>
      <c r="B2118" s="741"/>
      <c r="C2118" s="2189" t="s">
        <v>277</v>
      </c>
      <c r="D2118" s="2190" t="s">
        <v>657</v>
      </c>
      <c r="E2118" s="2171"/>
      <c r="F2118" s="2171">
        <v>0</v>
      </c>
      <c r="G2118" s="2172" t="e">
        <f t="shared" si="403"/>
        <v>#DIV/0!</v>
      </c>
    </row>
    <row r="2119" spans="1:7" ht="24.75" customHeight="1">
      <c r="A2119" s="548"/>
      <c r="B2119" s="746"/>
      <c r="C2119" s="2189" t="s">
        <v>892</v>
      </c>
      <c r="D2119" s="2190" t="s">
        <v>893</v>
      </c>
      <c r="E2119" s="2171">
        <v>2610411</v>
      </c>
      <c r="F2119" s="2171">
        <v>531673</v>
      </c>
      <c r="G2119" s="2172">
        <f t="shared" si="403"/>
        <v>0.20367405745685258</v>
      </c>
    </row>
    <row r="2120" spans="1:7" ht="17.100000000000001" customHeight="1">
      <c r="A2120" s="548"/>
      <c r="B2120" s="746"/>
      <c r="C2120" s="553"/>
      <c r="D2120" s="553"/>
      <c r="E2120" s="550"/>
      <c r="F2120" s="550"/>
      <c r="G2120" s="1433"/>
    </row>
    <row r="2121" spans="1:7" ht="17.100000000000001" customHeight="1">
      <c r="A2121" s="548"/>
      <c r="B2121" s="746"/>
      <c r="C2121" s="3055" t="s">
        <v>523</v>
      </c>
      <c r="D2121" s="3055"/>
      <c r="E2121" s="2202">
        <f t="shared" ref="E2121:F2121" si="405">E2122</f>
        <v>10884919</v>
      </c>
      <c r="F2121" s="2202">
        <f t="shared" si="405"/>
        <v>7812324</v>
      </c>
      <c r="G2121" s="2203">
        <f t="shared" si="403"/>
        <v>0.7177199940578336</v>
      </c>
    </row>
    <row r="2122" spans="1:7" ht="17.100000000000001" customHeight="1">
      <c r="A2122" s="548"/>
      <c r="B2122" s="746"/>
      <c r="C2122" s="3052" t="s">
        <v>524</v>
      </c>
      <c r="D2122" s="3052"/>
      <c r="E2122" s="2171">
        <f>E2123+E2124</f>
        <v>10884919</v>
      </c>
      <c r="F2122" s="2171">
        <f>F2123+F2124</f>
        <v>7812324</v>
      </c>
      <c r="G2122" s="2172">
        <f t="shared" si="403"/>
        <v>0.7177199940578336</v>
      </c>
    </row>
    <row r="2123" spans="1:7" ht="38.25" customHeight="1">
      <c r="A2123" s="548"/>
      <c r="B2123" s="746"/>
      <c r="C2123" s="2204" t="s">
        <v>811</v>
      </c>
      <c r="D2123" s="2205" t="s">
        <v>812</v>
      </c>
      <c r="E2123" s="2171">
        <v>10884919</v>
      </c>
      <c r="F2123" s="2171">
        <v>7698369</v>
      </c>
      <c r="G2123" s="2172">
        <f t="shared" si="403"/>
        <v>0.70725092212445495</v>
      </c>
    </row>
    <row r="2124" spans="1:7" ht="54.75" customHeight="1" thickBot="1">
      <c r="A2124" s="548"/>
      <c r="B2124" s="746"/>
      <c r="C2124" s="555" t="s">
        <v>608</v>
      </c>
      <c r="D2124" s="1456" t="s">
        <v>609</v>
      </c>
      <c r="E2124" s="551">
        <v>0</v>
      </c>
      <c r="F2124" s="551">
        <v>113955</v>
      </c>
      <c r="G2124" s="2172"/>
    </row>
    <row r="2125" spans="1:7" ht="17.100000000000001" customHeight="1" thickBot="1">
      <c r="A2125" s="548"/>
      <c r="B2125" s="559" t="s">
        <v>131</v>
      </c>
      <c r="C2125" s="587"/>
      <c r="D2125" s="561" t="s">
        <v>903</v>
      </c>
      <c r="E2125" s="562">
        <f>SUM(E2126+E2139)</f>
        <v>4950000</v>
      </c>
      <c r="F2125" s="562">
        <f>SUM(F2126+F2139)</f>
        <v>4093117</v>
      </c>
      <c r="G2125" s="1478">
        <f t="shared" si="403"/>
        <v>0.8268923232323232</v>
      </c>
    </row>
    <row r="2126" spans="1:7" ht="17.100000000000001" customHeight="1">
      <c r="A2126" s="548"/>
      <c r="B2126" s="2771"/>
      <c r="C2126" s="2853" t="s">
        <v>470</v>
      </c>
      <c r="D2126" s="2853"/>
      <c r="E2126" s="549">
        <f>E2127+E2131+E2136</f>
        <v>4950000</v>
      </c>
      <c r="F2126" s="549">
        <f>F2127+F2131+F2136</f>
        <v>4000000</v>
      </c>
      <c r="G2126" s="1424">
        <f t="shared" si="403"/>
        <v>0.80808080808080807</v>
      </c>
    </row>
    <row r="2127" spans="1:7" ht="17.100000000000001" hidden="1" customHeight="1">
      <c r="A2127" s="548"/>
      <c r="B2127" s="2771"/>
      <c r="C2127" s="3056" t="s">
        <v>471</v>
      </c>
      <c r="D2127" s="3056"/>
      <c r="E2127" s="564">
        <f>E2128</f>
        <v>0</v>
      </c>
      <c r="F2127" s="564">
        <f t="shared" ref="F2127:F2128" si="406">F2128</f>
        <v>0</v>
      </c>
      <c r="G2127" s="1497" t="e">
        <f t="shared" si="403"/>
        <v>#DIV/0!</v>
      </c>
    </row>
    <row r="2128" spans="1:7" ht="17.100000000000001" hidden="1" customHeight="1">
      <c r="A2128" s="548"/>
      <c r="B2128" s="2771"/>
      <c r="C2128" s="3057" t="s">
        <v>483</v>
      </c>
      <c r="D2128" s="3057"/>
      <c r="E2128" s="564">
        <f>E2129</f>
        <v>0</v>
      </c>
      <c r="F2128" s="564">
        <f t="shared" si="406"/>
        <v>0</v>
      </c>
      <c r="G2128" s="1497" t="e">
        <f t="shared" si="403"/>
        <v>#DIV/0!</v>
      </c>
    </row>
    <row r="2129" spans="1:7" ht="30" hidden="1" customHeight="1">
      <c r="A2129" s="548"/>
      <c r="B2129" s="2771"/>
      <c r="C2129" s="2206" t="s">
        <v>773</v>
      </c>
      <c r="D2129" s="2207" t="s">
        <v>774</v>
      </c>
      <c r="E2129" s="564"/>
      <c r="F2129" s="564">
        <v>0</v>
      </c>
      <c r="G2129" s="1497" t="e">
        <f t="shared" si="403"/>
        <v>#DIV/0!</v>
      </c>
    </row>
    <row r="2130" spans="1:7" ht="17.100000000000001" hidden="1" customHeight="1">
      <c r="A2130" s="548"/>
      <c r="B2130" s="2771"/>
      <c r="C2130" s="2208"/>
      <c r="D2130" s="1643"/>
      <c r="E2130" s="549"/>
      <c r="F2130" s="549"/>
      <c r="G2130" s="1424"/>
    </row>
    <row r="2131" spans="1:7" ht="17.100000000000001" customHeight="1">
      <c r="A2131" s="548"/>
      <c r="B2131" s="2771"/>
      <c r="C2131" s="3049" t="s">
        <v>567</v>
      </c>
      <c r="D2131" s="3049"/>
      <c r="E2131" s="2171">
        <f>SUM(E2132:E2134)</f>
        <v>4560000</v>
      </c>
      <c r="F2131" s="2171">
        <f t="shared" ref="F2131" si="407">SUM(F2132:F2134)</f>
        <v>4000000</v>
      </c>
      <c r="G2131" s="2172">
        <f t="shared" si="403"/>
        <v>0.8771929824561403</v>
      </c>
    </row>
    <row r="2132" spans="1:7" ht="28.5" hidden="1" customHeight="1">
      <c r="A2132" s="548"/>
      <c r="B2132" s="741"/>
      <c r="C2132" s="2187" t="s">
        <v>277</v>
      </c>
      <c r="D2132" s="2188" t="s">
        <v>620</v>
      </c>
      <c r="E2132" s="2171">
        <v>0</v>
      </c>
      <c r="F2132" s="2171">
        <v>0</v>
      </c>
      <c r="G2132" s="2172" t="e">
        <f t="shared" si="403"/>
        <v>#DIV/0!</v>
      </c>
    </row>
    <row r="2133" spans="1:7" ht="40.5" customHeight="1">
      <c r="A2133" s="548"/>
      <c r="B2133" s="746"/>
      <c r="C2133" s="2189" t="s">
        <v>904</v>
      </c>
      <c r="D2133" s="2190" t="s">
        <v>905</v>
      </c>
      <c r="E2133" s="2171">
        <v>4229000</v>
      </c>
      <c r="F2133" s="2171">
        <v>4000000</v>
      </c>
      <c r="G2133" s="2172">
        <f t="shared" si="403"/>
        <v>0.9458500827618822</v>
      </c>
    </row>
    <row r="2134" spans="1:7" ht="41.25" hidden="1" customHeight="1">
      <c r="A2134" s="548"/>
      <c r="B2134" s="746"/>
      <c r="C2134" s="555" t="s">
        <v>906</v>
      </c>
      <c r="D2134" s="1456" t="s">
        <v>907</v>
      </c>
      <c r="E2134" s="551">
        <v>331000</v>
      </c>
      <c r="F2134" s="551">
        <v>0</v>
      </c>
      <c r="G2134" s="1438">
        <f t="shared" si="403"/>
        <v>0</v>
      </c>
    </row>
    <row r="2135" spans="1:7" ht="17.25" hidden="1" customHeight="1">
      <c r="A2135" s="548"/>
      <c r="B2135" s="746"/>
      <c r="C2135" s="2067"/>
      <c r="D2135" s="2195"/>
      <c r="E2135" s="2196"/>
      <c r="F2135" s="2195"/>
      <c r="G2135" s="2196"/>
    </row>
    <row r="2136" spans="1:7" ht="16.5" hidden="1" customHeight="1">
      <c r="A2136" s="548"/>
      <c r="B2136" s="746"/>
      <c r="C2136" s="3033" t="s">
        <v>520</v>
      </c>
      <c r="D2136" s="3062"/>
      <c r="E2136" s="564">
        <f>E2137</f>
        <v>390000</v>
      </c>
      <c r="F2136" s="2171">
        <f>F2137</f>
        <v>0</v>
      </c>
      <c r="G2136" s="2172">
        <f>F2136/E2136</f>
        <v>0</v>
      </c>
    </row>
    <row r="2137" spans="1:7" ht="19.5" hidden="1" customHeight="1">
      <c r="A2137" s="548"/>
      <c r="B2137" s="746"/>
      <c r="C2137" s="1668" t="s">
        <v>796</v>
      </c>
      <c r="D2137" s="1669" t="s">
        <v>797</v>
      </c>
      <c r="E2137" s="551">
        <v>390000</v>
      </c>
      <c r="F2137" s="551">
        <v>0</v>
      </c>
      <c r="G2137" s="2194">
        <f>F2137/E2137</f>
        <v>0</v>
      </c>
    </row>
    <row r="2138" spans="1:7" ht="18.75" customHeight="1">
      <c r="A2138" s="548"/>
      <c r="B2138" s="746"/>
      <c r="C2138" s="3063"/>
      <c r="D2138" s="3064"/>
      <c r="E2138" s="2193"/>
      <c r="F2138" s="2171"/>
      <c r="G2138" s="2194"/>
    </row>
    <row r="2139" spans="1:7" ht="19.5" customHeight="1">
      <c r="A2139" s="548"/>
      <c r="B2139" s="746"/>
      <c r="C2139" s="3055" t="s">
        <v>523</v>
      </c>
      <c r="D2139" s="3055"/>
      <c r="E2139" s="2171">
        <f>E2140</f>
        <v>0</v>
      </c>
      <c r="F2139" s="2171">
        <f>F2140</f>
        <v>93117</v>
      </c>
      <c r="G2139" s="2172"/>
    </row>
    <row r="2140" spans="1:7" ht="17.25" customHeight="1">
      <c r="A2140" s="548"/>
      <c r="B2140" s="746"/>
      <c r="C2140" s="3052" t="s">
        <v>524</v>
      </c>
      <c r="D2140" s="3052"/>
      <c r="E2140" s="2193">
        <f>E2141</f>
        <v>0</v>
      </c>
      <c r="F2140" s="2193">
        <f>F2141</f>
        <v>93117</v>
      </c>
      <c r="G2140" s="2194"/>
    </row>
    <row r="2141" spans="1:7" ht="51.75" customHeight="1" thickBot="1">
      <c r="A2141" s="548"/>
      <c r="B2141" s="746"/>
      <c r="C2141" s="555" t="s">
        <v>608</v>
      </c>
      <c r="D2141" s="1456" t="s">
        <v>609</v>
      </c>
      <c r="E2141" s="552">
        <v>0</v>
      </c>
      <c r="F2141" s="552">
        <v>93117</v>
      </c>
      <c r="G2141" s="1445"/>
    </row>
    <row r="2142" spans="1:7" ht="17.100000000000001" customHeight="1" thickBot="1">
      <c r="A2142" s="548"/>
      <c r="B2142" s="559" t="s">
        <v>908</v>
      </c>
      <c r="C2142" s="560"/>
      <c r="D2142" s="561" t="s">
        <v>239</v>
      </c>
      <c r="E2142" s="562">
        <f>E2143+E2180</f>
        <v>4962644</v>
      </c>
      <c r="F2142" s="562">
        <f>F2143+F2180</f>
        <v>4363581</v>
      </c>
      <c r="G2142" s="1478">
        <f t="shared" si="403"/>
        <v>0.87928551796179621</v>
      </c>
    </row>
    <row r="2143" spans="1:7" ht="17.100000000000001" customHeight="1">
      <c r="A2143" s="548"/>
      <c r="B2143" s="3053"/>
      <c r="C2143" s="2879" t="s">
        <v>470</v>
      </c>
      <c r="D2143" s="2879"/>
      <c r="E2143" s="549">
        <f>E2144+E2158+E2154</f>
        <v>875673</v>
      </c>
      <c r="F2143" s="549">
        <f t="shared" ref="F2143" si="408">F2144+F2158+F2154</f>
        <v>575200</v>
      </c>
      <c r="G2143" s="1424">
        <f t="shared" si="403"/>
        <v>0.65686620462204504</v>
      </c>
    </row>
    <row r="2144" spans="1:7" ht="17.100000000000001" customHeight="1">
      <c r="A2144" s="548"/>
      <c r="B2144" s="3053"/>
      <c r="C2144" s="3049" t="s">
        <v>471</v>
      </c>
      <c r="D2144" s="3049"/>
      <c r="E2144" s="2171">
        <f t="shared" ref="E2144:F2144" si="409">SUM(E2145,E2150)</f>
        <v>594780</v>
      </c>
      <c r="F2144" s="2171">
        <f t="shared" si="409"/>
        <v>555200</v>
      </c>
      <c r="G2144" s="2172">
        <f t="shared" si="403"/>
        <v>0.93345438649584722</v>
      </c>
    </row>
    <row r="2145" spans="1:7" ht="17.100000000000001" customHeight="1">
      <c r="A2145" s="548"/>
      <c r="B2145" s="3053"/>
      <c r="C2145" s="3030" t="s">
        <v>472</v>
      </c>
      <c r="D2145" s="3030"/>
      <c r="E2145" s="2171">
        <f t="shared" ref="E2145:F2145" si="410">SUM(E2146:E2148)</f>
        <v>10000</v>
      </c>
      <c r="F2145" s="2171">
        <f t="shared" si="410"/>
        <v>47300</v>
      </c>
      <c r="G2145" s="2172">
        <f t="shared" si="403"/>
        <v>4.7300000000000004</v>
      </c>
    </row>
    <row r="2146" spans="1:7" ht="17.100000000000001" customHeight="1">
      <c r="A2146" s="548"/>
      <c r="B2146" s="3053"/>
      <c r="C2146" s="2189" t="s">
        <v>477</v>
      </c>
      <c r="D2146" s="2190" t="s">
        <v>478</v>
      </c>
      <c r="E2146" s="2171">
        <v>762</v>
      </c>
      <c r="F2146" s="2171">
        <f>785+2286</f>
        <v>3071</v>
      </c>
      <c r="G2146" s="2172">
        <f t="shared" si="403"/>
        <v>4.030183727034121</v>
      </c>
    </row>
    <row r="2147" spans="1:7" ht="26.25" customHeight="1">
      <c r="A2147" s="548"/>
      <c r="B2147" s="3053"/>
      <c r="C2147" s="2189" t="s">
        <v>479</v>
      </c>
      <c r="D2147" s="2190" t="s">
        <v>1028</v>
      </c>
      <c r="E2147" s="2171">
        <v>78</v>
      </c>
      <c r="F2147" s="2171">
        <f>80+234</f>
        <v>314</v>
      </c>
      <c r="G2147" s="2172">
        <f t="shared" si="403"/>
        <v>4.0256410256410255</v>
      </c>
    </row>
    <row r="2148" spans="1:7" ht="17.100000000000001" customHeight="1">
      <c r="A2148" s="548"/>
      <c r="B2148" s="3053"/>
      <c r="C2148" s="2189" t="s">
        <v>481</v>
      </c>
      <c r="D2148" s="2190" t="s">
        <v>482</v>
      </c>
      <c r="E2148" s="2171">
        <v>9160</v>
      </c>
      <c r="F2148" s="2171">
        <f>7000+39435-30000+27480</f>
        <v>43915</v>
      </c>
      <c r="G2148" s="2172">
        <f t="shared" si="403"/>
        <v>4.7942139737991267</v>
      </c>
    </row>
    <row r="2149" spans="1:7" ht="17.100000000000001" customHeight="1">
      <c r="A2149" s="548"/>
      <c r="B2149" s="3053"/>
      <c r="C2149" s="2188"/>
      <c r="D2149" s="2188"/>
      <c r="E2149" s="2171"/>
      <c r="F2149" s="2171"/>
      <c r="G2149" s="2172"/>
    </row>
    <row r="2150" spans="1:7" ht="17.100000000000001" customHeight="1">
      <c r="A2150" s="548"/>
      <c r="B2150" s="3053"/>
      <c r="C2150" s="3054" t="s">
        <v>483</v>
      </c>
      <c r="D2150" s="3054"/>
      <c r="E2150" s="2171">
        <f t="shared" ref="E2150:F2150" si="411">SUM(E2151:E2152)</f>
        <v>584780</v>
      </c>
      <c r="F2150" s="2171">
        <f t="shared" si="411"/>
        <v>507900</v>
      </c>
      <c r="G2150" s="2172">
        <f t="shared" si="403"/>
        <v>0.86853175553199491</v>
      </c>
    </row>
    <row r="2151" spans="1:7" ht="17.100000000000001" customHeight="1">
      <c r="A2151" s="548"/>
      <c r="B2151" s="3053"/>
      <c r="C2151" s="2189" t="s">
        <v>486</v>
      </c>
      <c r="D2151" s="2190" t="s">
        <v>487</v>
      </c>
      <c r="E2151" s="2171">
        <v>31980</v>
      </c>
      <c r="F2151" s="2171">
        <f>10000+7000</f>
        <v>17000</v>
      </c>
      <c r="G2151" s="2172">
        <f t="shared" si="403"/>
        <v>0.53158223889931211</v>
      </c>
    </row>
    <row r="2152" spans="1:7" ht="17.100000000000001" customHeight="1">
      <c r="A2152" s="548"/>
      <c r="B2152" s="3053"/>
      <c r="C2152" s="2189" t="s">
        <v>496</v>
      </c>
      <c r="D2152" s="2190" t="s">
        <v>497</v>
      </c>
      <c r="E2152" s="2171">
        <v>552800</v>
      </c>
      <c r="F2152" s="2171">
        <f>8000+482900</f>
        <v>490900</v>
      </c>
      <c r="G2152" s="2172">
        <f t="shared" si="403"/>
        <v>0.88802460202604916</v>
      </c>
    </row>
    <row r="2153" spans="1:7" ht="17.100000000000001" customHeight="1">
      <c r="A2153" s="548"/>
      <c r="B2153" s="752"/>
      <c r="C2153" s="2209"/>
      <c r="D2153" s="2210"/>
      <c r="E2153" s="2171"/>
      <c r="F2153" s="2171"/>
      <c r="G2153" s="2172"/>
    </row>
    <row r="2154" spans="1:7" ht="17.100000000000001" hidden="1" customHeight="1">
      <c r="A2154" s="548"/>
      <c r="B2154" s="752"/>
      <c r="C2154" s="3049" t="s">
        <v>567</v>
      </c>
      <c r="D2154" s="3049"/>
      <c r="E2154" s="2171">
        <f>SUM(E2155:E2156)</f>
        <v>59800</v>
      </c>
      <c r="F2154" s="2171">
        <f t="shared" ref="F2154" si="412">SUM(F2155:F2156)</f>
        <v>0</v>
      </c>
      <c r="G2154" s="2172">
        <f t="shared" si="403"/>
        <v>0</v>
      </c>
    </row>
    <row r="2155" spans="1:7" ht="42.75" hidden="1" customHeight="1">
      <c r="A2155" s="548"/>
      <c r="B2155" s="752"/>
      <c r="C2155" s="2189" t="s">
        <v>582</v>
      </c>
      <c r="D2155" s="2190" t="s">
        <v>583</v>
      </c>
      <c r="E2155" s="2171"/>
      <c r="F2155" s="2171">
        <v>0</v>
      </c>
      <c r="G2155" s="2172" t="e">
        <f t="shared" si="403"/>
        <v>#DIV/0!</v>
      </c>
    </row>
    <row r="2156" spans="1:7" ht="30.75" hidden="1" customHeight="1">
      <c r="A2156" s="548"/>
      <c r="B2156" s="752"/>
      <c r="C2156" s="2189" t="s">
        <v>277</v>
      </c>
      <c r="D2156" s="2190" t="s">
        <v>657</v>
      </c>
      <c r="E2156" s="2171">
        <v>59800</v>
      </c>
      <c r="F2156" s="2171">
        <v>0</v>
      </c>
      <c r="G2156" s="2172">
        <f t="shared" si="403"/>
        <v>0</v>
      </c>
    </row>
    <row r="2157" spans="1:7" ht="17.100000000000001" hidden="1" customHeight="1">
      <c r="A2157" s="548"/>
      <c r="B2157" s="752"/>
      <c r="C2157" s="2209"/>
      <c r="D2157" s="2210"/>
      <c r="E2157" s="2171"/>
      <c r="F2157" s="2171"/>
      <c r="G2157" s="2172"/>
    </row>
    <row r="2158" spans="1:7" ht="17.100000000000001" customHeight="1">
      <c r="A2158" s="548"/>
      <c r="B2158" s="752"/>
      <c r="C2158" s="3049" t="s">
        <v>536</v>
      </c>
      <c r="D2158" s="3049"/>
      <c r="E2158" s="2171">
        <f>SUM(E2159:E2178)</f>
        <v>221093</v>
      </c>
      <c r="F2158" s="2171">
        <f t="shared" ref="F2158" si="413">SUM(F2159:F2178)</f>
        <v>20000</v>
      </c>
      <c r="G2158" s="2172">
        <f t="shared" si="403"/>
        <v>9.0459670817257892E-2</v>
      </c>
    </row>
    <row r="2159" spans="1:7" ht="17.100000000000001" hidden="1" customHeight="1">
      <c r="A2159" s="548"/>
      <c r="B2159" s="752"/>
      <c r="C2159" s="2189" t="s">
        <v>689</v>
      </c>
      <c r="D2159" s="2119" t="s">
        <v>690</v>
      </c>
      <c r="E2159" s="2171"/>
      <c r="F2159" s="2171"/>
      <c r="G2159" s="2172" t="e">
        <f t="shared" si="403"/>
        <v>#DIV/0!</v>
      </c>
    </row>
    <row r="2160" spans="1:7" ht="17.100000000000001" hidden="1" customHeight="1">
      <c r="A2160" s="548"/>
      <c r="B2160" s="752"/>
      <c r="C2160" s="2189" t="s">
        <v>691</v>
      </c>
      <c r="D2160" s="2119" t="s">
        <v>690</v>
      </c>
      <c r="E2160" s="2171"/>
      <c r="F2160" s="2171"/>
      <c r="G2160" s="2172" t="e">
        <f t="shared" si="403"/>
        <v>#DIV/0!</v>
      </c>
    </row>
    <row r="2161" spans="1:7" ht="17.100000000000001" customHeight="1">
      <c r="A2161" s="548"/>
      <c r="B2161" s="752"/>
      <c r="C2161" s="2189" t="s">
        <v>540</v>
      </c>
      <c r="D2161" s="2190" t="s">
        <v>474</v>
      </c>
      <c r="E2161" s="2171">
        <v>55933</v>
      </c>
      <c r="F2161" s="2171">
        <v>4212</v>
      </c>
      <c r="G2161" s="2172">
        <f t="shared" si="403"/>
        <v>7.5304382028498387E-2</v>
      </c>
    </row>
    <row r="2162" spans="1:7" ht="17.100000000000001" customHeight="1">
      <c r="A2162" s="548"/>
      <c r="B2162" s="752"/>
      <c r="C2162" s="2189" t="s">
        <v>541</v>
      </c>
      <c r="D2162" s="2190" t="s">
        <v>474</v>
      </c>
      <c r="E2162" s="2171">
        <v>10134</v>
      </c>
      <c r="F2162" s="2171">
        <v>743</v>
      </c>
      <c r="G2162" s="2172">
        <f t="shared" si="403"/>
        <v>7.3317544898361953E-2</v>
      </c>
    </row>
    <row r="2163" spans="1:7" ht="17.100000000000001" hidden="1" customHeight="1">
      <c r="A2163" s="548"/>
      <c r="B2163" s="752"/>
      <c r="C2163" s="2189" t="s">
        <v>542</v>
      </c>
      <c r="D2163" s="2190" t="s">
        <v>476</v>
      </c>
      <c r="E2163" s="2171">
        <v>4512</v>
      </c>
      <c r="F2163" s="2171">
        <v>0</v>
      </c>
      <c r="G2163" s="2172">
        <f t="shared" si="403"/>
        <v>0</v>
      </c>
    </row>
    <row r="2164" spans="1:7" ht="17.100000000000001" hidden="1" customHeight="1">
      <c r="A2164" s="548"/>
      <c r="B2164" s="752"/>
      <c r="C2164" s="2189" t="s">
        <v>543</v>
      </c>
      <c r="D2164" s="2190" t="s">
        <v>476</v>
      </c>
      <c r="E2164" s="2171">
        <v>797</v>
      </c>
      <c r="F2164" s="2171">
        <v>0</v>
      </c>
      <c r="G2164" s="2172">
        <f t="shared" si="403"/>
        <v>0</v>
      </c>
    </row>
    <row r="2165" spans="1:7" ht="17.100000000000001" customHeight="1">
      <c r="A2165" s="548"/>
      <c r="B2165" s="752"/>
      <c r="C2165" s="2189" t="s">
        <v>544</v>
      </c>
      <c r="D2165" s="2190" t="s">
        <v>478</v>
      </c>
      <c r="E2165" s="2171">
        <v>8646</v>
      </c>
      <c r="F2165" s="2171">
        <v>378</v>
      </c>
      <c r="G2165" s="2172">
        <f t="shared" si="403"/>
        <v>4.3719639139486469E-2</v>
      </c>
    </row>
    <row r="2166" spans="1:7" ht="17.100000000000001" customHeight="1">
      <c r="A2166" s="548"/>
      <c r="B2166" s="752"/>
      <c r="C2166" s="2189" t="s">
        <v>545</v>
      </c>
      <c r="D2166" s="2190" t="s">
        <v>478</v>
      </c>
      <c r="E2166" s="2171">
        <v>1396</v>
      </c>
      <c r="F2166" s="2171">
        <v>67</v>
      </c>
      <c r="G2166" s="2172">
        <f t="shared" si="403"/>
        <v>4.7994269340974213E-2</v>
      </c>
    </row>
    <row r="2167" spans="1:7" ht="26.25" customHeight="1">
      <c r="A2167" s="548"/>
      <c r="B2167" s="752"/>
      <c r="C2167" s="2189" t="s">
        <v>546</v>
      </c>
      <c r="D2167" s="2190" t="s">
        <v>1028</v>
      </c>
      <c r="E2167" s="2171">
        <v>1207</v>
      </c>
      <c r="F2167" s="2171">
        <v>85</v>
      </c>
      <c r="G2167" s="2172">
        <f t="shared" si="403"/>
        <v>7.0422535211267609E-2</v>
      </c>
    </row>
    <row r="2168" spans="1:7" ht="25.5" customHeight="1">
      <c r="A2168" s="548"/>
      <c r="B2168" s="752"/>
      <c r="C2168" s="2189" t="s">
        <v>547</v>
      </c>
      <c r="D2168" s="2190" t="s">
        <v>1028</v>
      </c>
      <c r="E2168" s="2171">
        <v>236</v>
      </c>
      <c r="F2168" s="2171">
        <v>15</v>
      </c>
      <c r="G2168" s="2172">
        <f t="shared" si="403"/>
        <v>6.3559322033898302E-2</v>
      </c>
    </row>
    <row r="2169" spans="1:7" ht="17.100000000000001" hidden="1" customHeight="1">
      <c r="A2169" s="548"/>
      <c r="B2169" s="752"/>
      <c r="C2169" s="2189" t="s">
        <v>548</v>
      </c>
      <c r="D2169" s="2190" t="s">
        <v>482</v>
      </c>
      <c r="E2169" s="2171">
        <v>15205</v>
      </c>
      <c r="F2169" s="2171">
        <v>0</v>
      </c>
      <c r="G2169" s="2172">
        <f t="shared" si="403"/>
        <v>0</v>
      </c>
    </row>
    <row r="2170" spans="1:7" ht="17.100000000000001" hidden="1" customHeight="1">
      <c r="A2170" s="548"/>
      <c r="B2170" s="752"/>
      <c r="C2170" s="2189" t="s">
        <v>549</v>
      </c>
      <c r="D2170" s="2190" t="s">
        <v>482</v>
      </c>
      <c r="E2170" s="2171">
        <v>2745</v>
      </c>
      <c r="F2170" s="2171">
        <v>0</v>
      </c>
      <c r="G2170" s="2172">
        <f t="shared" si="403"/>
        <v>0</v>
      </c>
    </row>
    <row r="2171" spans="1:7" ht="17.100000000000001" customHeight="1">
      <c r="A2171" s="548"/>
      <c r="B2171" s="752"/>
      <c r="C2171" s="2189" t="s">
        <v>553</v>
      </c>
      <c r="D2171" s="2190" t="s">
        <v>487</v>
      </c>
      <c r="E2171" s="2171">
        <v>10436</v>
      </c>
      <c r="F2171" s="2171">
        <v>680</v>
      </c>
      <c r="G2171" s="2172">
        <f t="shared" si="403"/>
        <v>6.5159064775776154E-2</v>
      </c>
    </row>
    <row r="2172" spans="1:7" ht="17.100000000000001" customHeight="1">
      <c r="A2172" s="548"/>
      <c r="B2172" s="752"/>
      <c r="C2172" s="2189" t="s">
        <v>554</v>
      </c>
      <c r="D2172" s="2190" t="s">
        <v>487</v>
      </c>
      <c r="E2172" s="2171">
        <v>1844</v>
      </c>
      <c r="F2172" s="2171">
        <v>120</v>
      </c>
      <c r="G2172" s="2172">
        <f t="shared" si="403"/>
        <v>6.5075921908893705E-2</v>
      </c>
    </row>
    <row r="2173" spans="1:7" ht="17.100000000000001" customHeight="1">
      <c r="A2173" s="548"/>
      <c r="B2173" s="752"/>
      <c r="C2173" s="2189" t="s">
        <v>557</v>
      </c>
      <c r="D2173" s="2190" t="s">
        <v>497</v>
      </c>
      <c r="E2173" s="2171">
        <v>59681</v>
      </c>
      <c r="F2173" s="2171">
        <v>5270</v>
      </c>
      <c r="G2173" s="2172">
        <f t="shared" si="403"/>
        <v>8.8302809939511742E-2</v>
      </c>
    </row>
    <row r="2174" spans="1:7" ht="17.100000000000001" customHeight="1">
      <c r="A2174" s="548"/>
      <c r="B2174" s="752"/>
      <c r="C2174" s="2189" t="s">
        <v>558</v>
      </c>
      <c r="D2174" s="2190" t="s">
        <v>497</v>
      </c>
      <c r="E2174" s="2171">
        <v>10390</v>
      </c>
      <c r="F2174" s="2171">
        <v>930</v>
      </c>
      <c r="G2174" s="2172">
        <f t="shared" si="403"/>
        <v>8.9509143407122238E-2</v>
      </c>
    </row>
    <row r="2175" spans="1:7" ht="17.100000000000001" customHeight="1">
      <c r="A2175" s="548"/>
      <c r="B2175" s="752"/>
      <c r="C2175" s="2189" t="s">
        <v>561</v>
      </c>
      <c r="D2175" s="2190" t="s">
        <v>505</v>
      </c>
      <c r="E2175" s="2171">
        <v>3621</v>
      </c>
      <c r="F2175" s="2171">
        <v>850</v>
      </c>
      <c r="G2175" s="2172">
        <f t="shared" si="403"/>
        <v>0.23474178403755869</v>
      </c>
    </row>
    <row r="2176" spans="1:7" ht="17.100000000000001" customHeight="1">
      <c r="A2176" s="548"/>
      <c r="B2176" s="752"/>
      <c r="C2176" s="2189" t="s">
        <v>562</v>
      </c>
      <c r="D2176" s="2190" t="s">
        <v>505</v>
      </c>
      <c r="E2176" s="2171">
        <v>639</v>
      </c>
      <c r="F2176" s="2171">
        <v>150</v>
      </c>
      <c r="G2176" s="2172">
        <f t="shared" si="403"/>
        <v>0.23474178403755869</v>
      </c>
    </row>
    <row r="2177" spans="1:7" ht="17.100000000000001" customHeight="1">
      <c r="A2177" s="548"/>
      <c r="B2177" s="752"/>
      <c r="C2177" s="2189" t="s">
        <v>650</v>
      </c>
      <c r="D2177" s="2210" t="s">
        <v>631</v>
      </c>
      <c r="E2177" s="2171">
        <v>28688</v>
      </c>
      <c r="F2177" s="2171">
        <v>5525</v>
      </c>
      <c r="G2177" s="2172">
        <f t="shared" si="403"/>
        <v>0.19258923591745677</v>
      </c>
    </row>
    <row r="2178" spans="1:7" ht="17.100000000000001" customHeight="1">
      <c r="A2178" s="548"/>
      <c r="B2178" s="752"/>
      <c r="C2178" s="2189" t="s">
        <v>651</v>
      </c>
      <c r="D2178" s="2210" t="s">
        <v>631</v>
      </c>
      <c r="E2178" s="2171">
        <v>4983</v>
      </c>
      <c r="F2178" s="2171">
        <v>975</v>
      </c>
      <c r="G2178" s="2172">
        <f t="shared" si="403"/>
        <v>0.19566526189042746</v>
      </c>
    </row>
    <row r="2179" spans="1:7" ht="17.100000000000001" customHeight="1">
      <c r="A2179" s="548"/>
      <c r="B2179" s="752"/>
      <c r="C2179" s="2209"/>
      <c r="D2179" s="2210"/>
      <c r="E2179" s="2171"/>
      <c r="F2179" s="2171"/>
      <c r="G2179" s="2172"/>
    </row>
    <row r="2180" spans="1:7" ht="17.100000000000001" customHeight="1">
      <c r="A2180" s="548"/>
      <c r="B2180" s="746"/>
      <c r="C2180" s="3055" t="s">
        <v>523</v>
      </c>
      <c r="D2180" s="3055"/>
      <c r="E2180" s="2202">
        <f t="shared" ref="E2180:F2180" si="414">E2181</f>
        <v>4086971</v>
      </c>
      <c r="F2180" s="2202">
        <f t="shared" si="414"/>
        <v>3788381</v>
      </c>
      <c r="G2180" s="2203">
        <f t="shared" si="403"/>
        <v>0.92694100349623232</v>
      </c>
    </row>
    <row r="2181" spans="1:7" ht="17.100000000000001" customHeight="1">
      <c r="A2181" s="548"/>
      <c r="B2181" s="746"/>
      <c r="C2181" s="3058" t="s">
        <v>524</v>
      </c>
      <c r="D2181" s="3052"/>
      <c r="E2181" s="2171">
        <f t="shared" ref="E2181:F2181" si="415">SUM(E2182:E2186)</f>
        <v>4086971</v>
      </c>
      <c r="F2181" s="2171">
        <f t="shared" si="415"/>
        <v>3788381</v>
      </c>
      <c r="G2181" s="2172">
        <f t="shared" si="403"/>
        <v>0.92694100349623232</v>
      </c>
    </row>
    <row r="2182" spans="1:7" ht="17.100000000000001" hidden="1" customHeight="1">
      <c r="A2182" s="548"/>
      <c r="B2182" s="746"/>
      <c r="C2182" s="2211" t="s">
        <v>531</v>
      </c>
      <c r="D2182" s="1669" t="s">
        <v>526</v>
      </c>
      <c r="E2182" s="2200">
        <v>183871</v>
      </c>
      <c r="F2182" s="2200">
        <v>0</v>
      </c>
      <c r="G2182" s="2201">
        <f t="shared" si="403"/>
        <v>0</v>
      </c>
    </row>
    <row r="2183" spans="1:7" ht="17.100000000000001" customHeight="1">
      <c r="A2183" s="548"/>
      <c r="B2183" s="746"/>
      <c r="C2183" s="2212" t="s">
        <v>625</v>
      </c>
      <c r="D2183" s="1669" t="s">
        <v>526</v>
      </c>
      <c r="E2183" s="2200">
        <v>2935305</v>
      </c>
      <c r="F2183" s="2200">
        <v>2391059</v>
      </c>
      <c r="G2183" s="2201">
        <f t="shared" si="403"/>
        <v>0.81458621846792756</v>
      </c>
    </row>
    <row r="2184" spans="1:7" ht="17.100000000000001" customHeight="1">
      <c r="A2184" s="548"/>
      <c r="B2184" s="746"/>
      <c r="C2184" s="2211" t="s">
        <v>626</v>
      </c>
      <c r="D2184" s="1669" t="s">
        <v>526</v>
      </c>
      <c r="E2184" s="2200">
        <v>517995</v>
      </c>
      <c r="F2184" s="2200">
        <v>421952</v>
      </c>
      <c r="G2184" s="2201">
        <f t="shared" si="403"/>
        <v>0.81458701338816009</v>
      </c>
    </row>
    <row r="2185" spans="1:7" ht="50.25" customHeight="1">
      <c r="A2185" s="548"/>
      <c r="B2185" s="746"/>
      <c r="C2185" s="2211" t="s">
        <v>608</v>
      </c>
      <c r="D2185" s="1669" t="s">
        <v>609</v>
      </c>
      <c r="E2185" s="2200">
        <v>0</v>
      </c>
      <c r="F2185" s="2200">
        <v>975370</v>
      </c>
      <c r="G2185" s="2201"/>
    </row>
    <row r="2186" spans="1:7" ht="38.25" hidden="1">
      <c r="A2186" s="548"/>
      <c r="B2186" s="746"/>
      <c r="C2186" s="2211" t="s">
        <v>642</v>
      </c>
      <c r="D2186" s="2213" t="s">
        <v>643</v>
      </c>
      <c r="E2186" s="2200">
        <f>49800+400000</f>
        <v>449800</v>
      </c>
      <c r="F2186" s="2200">
        <v>0</v>
      </c>
      <c r="G2186" s="2201">
        <f t="shared" si="403"/>
        <v>0</v>
      </c>
    </row>
    <row r="2187" spans="1:7" ht="17.100000000000001" customHeight="1">
      <c r="A2187" s="548"/>
      <c r="B2187" s="746"/>
      <c r="C2187" s="3059"/>
      <c r="D2187" s="3060"/>
      <c r="E2187" s="2200"/>
      <c r="F2187" s="2200"/>
      <c r="G2187" s="2201"/>
    </row>
    <row r="2188" spans="1:7" ht="17.100000000000001" customHeight="1">
      <c r="A2188" s="548"/>
      <c r="B2188" s="746"/>
      <c r="C2188" s="3054" t="s">
        <v>534</v>
      </c>
      <c r="D2188" s="3061"/>
      <c r="E2188" s="2171">
        <f>SUM(E2189:E2191)</f>
        <v>3518300</v>
      </c>
      <c r="F2188" s="2171">
        <f>SUM(F2189:F2191)</f>
        <v>2813011</v>
      </c>
      <c r="G2188" s="2172">
        <f t="shared" si="403"/>
        <v>0.79953699229741637</v>
      </c>
    </row>
    <row r="2189" spans="1:7" ht="17.100000000000001" hidden="1" customHeight="1">
      <c r="A2189" s="548"/>
      <c r="B2189" s="746"/>
      <c r="C2189" s="2214" t="s">
        <v>531</v>
      </c>
      <c r="D2189" s="2215" t="s">
        <v>526</v>
      </c>
      <c r="E2189" s="2193">
        <v>65000</v>
      </c>
      <c r="F2189" s="2193">
        <v>0</v>
      </c>
      <c r="G2189" s="2172">
        <f t="shared" si="403"/>
        <v>0</v>
      </c>
    </row>
    <row r="2190" spans="1:7" ht="17.100000000000001" customHeight="1">
      <c r="A2190" s="548"/>
      <c r="B2190" s="746"/>
      <c r="C2190" s="555" t="s">
        <v>625</v>
      </c>
      <c r="D2190" s="1456" t="s">
        <v>526</v>
      </c>
      <c r="E2190" s="2193">
        <v>2935305</v>
      </c>
      <c r="F2190" s="2193">
        <v>2391059</v>
      </c>
      <c r="G2190" s="2194">
        <f t="shared" si="403"/>
        <v>0.81458621846792756</v>
      </c>
    </row>
    <row r="2191" spans="1:7" ht="17.100000000000001" customHeight="1" thickBot="1">
      <c r="A2191" s="548"/>
      <c r="B2191" s="746"/>
      <c r="C2191" s="586" t="s">
        <v>626</v>
      </c>
      <c r="D2191" s="2216" t="s">
        <v>526</v>
      </c>
      <c r="E2191" s="552">
        <v>517995</v>
      </c>
      <c r="F2191" s="552">
        <v>421952</v>
      </c>
      <c r="G2191" s="1445">
        <f t="shared" ref="G2191:G2274" si="416">F2191/E2191</f>
        <v>0.81458701338816009</v>
      </c>
    </row>
    <row r="2192" spans="1:7" ht="27.75" customHeight="1" thickBot="1">
      <c r="A2192" s="545" t="s">
        <v>201</v>
      </c>
      <c r="B2192" s="565"/>
      <c r="C2192" s="566"/>
      <c r="D2192" s="567" t="s">
        <v>909</v>
      </c>
      <c r="E2192" s="568">
        <f>E2193+E2197+E2231</f>
        <v>2438672</v>
      </c>
      <c r="F2192" s="568">
        <f>F2193+F2197+F2231</f>
        <v>3438718</v>
      </c>
      <c r="G2192" s="1499">
        <f t="shared" si="416"/>
        <v>1.4100781080850562</v>
      </c>
    </row>
    <row r="2193" spans="1:7" ht="33.75" hidden="1" customHeight="1" thickBot="1">
      <c r="A2193" s="588"/>
      <c r="B2193" s="559" t="s">
        <v>1068</v>
      </c>
      <c r="C2193" s="560"/>
      <c r="D2193" s="561" t="s">
        <v>1069</v>
      </c>
      <c r="E2193" s="562">
        <f t="shared" ref="E2193:F2195" si="417">E2194</f>
        <v>150000</v>
      </c>
      <c r="F2193" s="562">
        <f t="shared" si="417"/>
        <v>0</v>
      </c>
      <c r="G2193" s="1478">
        <f t="shared" si="416"/>
        <v>0</v>
      </c>
    </row>
    <row r="2194" spans="1:7" ht="18.75" hidden="1" customHeight="1">
      <c r="A2194" s="588"/>
      <c r="B2194" s="2945"/>
      <c r="C2194" s="3055" t="s">
        <v>523</v>
      </c>
      <c r="D2194" s="3055"/>
      <c r="E2194" s="590">
        <f t="shared" si="417"/>
        <v>150000</v>
      </c>
      <c r="F2194" s="590">
        <f t="shared" si="417"/>
        <v>0</v>
      </c>
      <c r="G2194" s="1641">
        <f>F2194/E2194</f>
        <v>0</v>
      </c>
    </row>
    <row r="2195" spans="1:7" ht="18.75" hidden="1" customHeight="1">
      <c r="A2195" s="588"/>
      <c r="B2195" s="2946"/>
      <c r="C2195" s="3058" t="s">
        <v>524</v>
      </c>
      <c r="D2195" s="3052"/>
      <c r="E2195" s="2217">
        <f t="shared" si="417"/>
        <v>150000</v>
      </c>
      <c r="F2195" s="2217">
        <f t="shared" si="417"/>
        <v>0</v>
      </c>
      <c r="G2195" s="2218">
        <f t="shared" ref="G2195:G2196" si="418">F2195/E2195</f>
        <v>0</v>
      </c>
    </row>
    <row r="2196" spans="1:7" ht="42.75" hidden="1" customHeight="1" thickBot="1">
      <c r="A2196" s="588"/>
      <c r="B2196" s="2947"/>
      <c r="C2196" s="2219" t="s">
        <v>811</v>
      </c>
      <c r="D2196" s="1669" t="s">
        <v>812</v>
      </c>
      <c r="E2196" s="583">
        <v>150000</v>
      </c>
      <c r="F2196" s="583">
        <v>0</v>
      </c>
      <c r="G2196" s="2220">
        <f t="shared" si="418"/>
        <v>0</v>
      </c>
    </row>
    <row r="2197" spans="1:7" ht="17.100000000000001" customHeight="1" thickBot="1">
      <c r="A2197" s="548"/>
      <c r="B2197" s="559" t="s">
        <v>910</v>
      </c>
      <c r="C2197" s="560"/>
      <c r="D2197" s="561" t="s">
        <v>462</v>
      </c>
      <c r="E2197" s="562">
        <f t="shared" ref="E2197:F2197" si="419">E2198</f>
        <v>2275672</v>
      </c>
      <c r="F2197" s="562">
        <f t="shared" si="419"/>
        <v>3428718</v>
      </c>
      <c r="G2197" s="1478">
        <f t="shared" si="416"/>
        <v>1.5066837400117417</v>
      </c>
    </row>
    <row r="2198" spans="1:7" ht="17.100000000000001" customHeight="1">
      <c r="A2198" s="548"/>
      <c r="B2198" s="746"/>
      <c r="C2198" s="2853" t="s">
        <v>470</v>
      </c>
      <c r="D2198" s="2853"/>
      <c r="E2198" s="549">
        <f>E2199+E2225+E2228</f>
        <v>2275672</v>
      </c>
      <c r="F2198" s="549">
        <f>F2199+F2225+F2228</f>
        <v>3428718</v>
      </c>
      <c r="G2198" s="1424">
        <f t="shared" si="416"/>
        <v>1.5066837400117417</v>
      </c>
    </row>
    <row r="2199" spans="1:7" ht="17.100000000000001" customHeight="1">
      <c r="A2199" s="548"/>
      <c r="B2199" s="746"/>
      <c r="C2199" s="3056" t="s">
        <v>471</v>
      </c>
      <c r="D2199" s="3056"/>
      <c r="E2199" s="2171">
        <f t="shared" ref="E2199:F2199" si="420">E2200+E2207</f>
        <v>1265086</v>
      </c>
      <c r="F2199" s="2171">
        <f t="shared" si="420"/>
        <v>1126707</v>
      </c>
      <c r="G2199" s="2172">
        <f t="shared" si="416"/>
        <v>0.89061692248590218</v>
      </c>
    </row>
    <row r="2200" spans="1:7" ht="17.100000000000001" customHeight="1">
      <c r="A2200" s="548"/>
      <c r="B2200" s="746"/>
      <c r="C2200" s="3030" t="s">
        <v>472</v>
      </c>
      <c r="D2200" s="3030"/>
      <c r="E2200" s="2221">
        <f t="shared" ref="E2200:F2200" si="421">SUM(E2201:E2205)</f>
        <v>940380</v>
      </c>
      <c r="F2200" s="2221">
        <f t="shared" si="421"/>
        <v>868471</v>
      </c>
      <c r="G2200" s="2222">
        <f t="shared" si="416"/>
        <v>0.92353197643505813</v>
      </c>
    </row>
    <row r="2201" spans="1:7" ht="17.100000000000001" customHeight="1">
      <c r="A2201" s="548"/>
      <c r="B2201" s="746"/>
      <c r="C2201" s="2189" t="s">
        <v>473</v>
      </c>
      <c r="D2201" s="2190" t="s">
        <v>474</v>
      </c>
      <c r="E2201" s="2171">
        <v>722651</v>
      </c>
      <c r="F2201" s="2171">
        <v>689953</v>
      </c>
      <c r="G2201" s="2172">
        <f t="shared" si="416"/>
        <v>0.95475270912238408</v>
      </c>
    </row>
    <row r="2202" spans="1:7" ht="17.100000000000001" customHeight="1">
      <c r="A2202" s="548"/>
      <c r="B2202" s="746"/>
      <c r="C2202" s="2189" t="s">
        <v>475</v>
      </c>
      <c r="D2202" s="2190" t="s">
        <v>476</v>
      </c>
      <c r="E2202" s="2171">
        <v>50562</v>
      </c>
      <c r="F2202" s="2171">
        <v>56094</v>
      </c>
      <c r="G2202" s="2172">
        <f t="shared" si="416"/>
        <v>1.1094102290257506</v>
      </c>
    </row>
    <row r="2203" spans="1:7" ht="17.100000000000001" customHeight="1">
      <c r="A2203" s="548"/>
      <c r="B2203" s="746"/>
      <c r="C2203" s="2189" t="s">
        <v>477</v>
      </c>
      <c r="D2203" s="2190" t="s">
        <v>478</v>
      </c>
      <c r="E2203" s="2171">
        <v>139453</v>
      </c>
      <c r="F2203" s="2171">
        <v>99019</v>
      </c>
      <c r="G2203" s="2172">
        <f t="shared" si="416"/>
        <v>0.7100528493470919</v>
      </c>
    </row>
    <row r="2204" spans="1:7" ht="27.75" customHeight="1">
      <c r="A2204" s="548"/>
      <c r="B2204" s="746"/>
      <c r="C2204" s="2189" t="s">
        <v>479</v>
      </c>
      <c r="D2204" s="2190" t="s">
        <v>1028</v>
      </c>
      <c r="E2204" s="2171">
        <v>14204</v>
      </c>
      <c r="F2204" s="2171">
        <v>11005</v>
      </c>
      <c r="G2204" s="2172">
        <f t="shared" si="416"/>
        <v>0.77478175161926222</v>
      </c>
    </row>
    <row r="2205" spans="1:7" ht="17.100000000000001" customHeight="1">
      <c r="A2205" s="548"/>
      <c r="B2205" s="746"/>
      <c r="C2205" s="2189" t="s">
        <v>481</v>
      </c>
      <c r="D2205" s="2190" t="s">
        <v>482</v>
      </c>
      <c r="E2205" s="2171">
        <v>13510</v>
      </c>
      <c r="F2205" s="2171">
        <v>12400</v>
      </c>
      <c r="G2205" s="2172">
        <f t="shared" si="416"/>
        <v>0.91783863804589194</v>
      </c>
    </row>
    <row r="2206" spans="1:7" ht="17.100000000000001" customHeight="1">
      <c r="A2206" s="548"/>
      <c r="B2206" s="746"/>
      <c r="C2206" s="553"/>
      <c r="D2206" s="553"/>
      <c r="E2206" s="550"/>
      <c r="F2206" s="550"/>
      <c r="G2206" s="1433"/>
    </row>
    <row r="2207" spans="1:7" ht="17.100000000000001" customHeight="1">
      <c r="A2207" s="548"/>
      <c r="B2207" s="746"/>
      <c r="C2207" s="3054" t="s">
        <v>483</v>
      </c>
      <c r="D2207" s="3054"/>
      <c r="E2207" s="2221">
        <f t="shared" ref="E2207:F2207" si="422">SUM(E2208:E2223)</f>
        <v>324706</v>
      </c>
      <c r="F2207" s="2221">
        <f t="shared" si="422"/>
        <v>258236</v>
      </c>
      <c r="G2207" s="2222">
        <f t="shared" si="416"/>
        <v>0.79529174083632581</v>
      </c>
    </row>
    <row r="2208" spans="1:7" ht="17.100000000000001" customHeight="1">
      <c r="A2208" s="548"/>
      <c r="B2208" s="746"/>
      <c r="C2208" s="2223" t="s">
        <v>577</v>
      </c>
      <c r="D2208" s="2224" t="s">
        <v>551</v>
      </c>
      <c r="E2208" s="2171">
        <v>19250</v>
      </c>
      <c r="F2208" s="2171">
        <v>14700</v>
      </c>
      <c r="G2208" s="2172">
        <f t="shared" si="416"/>
        <v>0.76363636363636367</v>
      </c>
    </row>
    <row r="2209" spans="1:7" ht="17.100000000000001" customHeight="1">
      <c r="A2209" s="548"/>
      <c r="B2209" s="746"/>
      <c r="C2209" s="2189" t="s">
        <v>486</v>
      </c>
      <c r="D2209" s="2190" t="s">
        <v>487</v>
      </c>
      <c r="E2209" s="2171">
        <v>50022</v>
      </c>
      <c r="F2209" s="2171">
        <v>48840</v>
      </c>
      <c r="G2209" s="2172">
        <f t="shared" si="416"/>
        <v>0.97637039702530881</v>
      </c>
    </row>
    <row r="2210" spans="1:7" ht="17.100000000000001" customHeight="1">
      <c r="A2210" s="548"/>
      <c r="B2210" s="746"/>
      <c r="C2210" s="2189" t="s">
        <v>488</v>
      </c>
      <c r="D2210" s="2190" t="s">
        <v>489</v>
      </c>
      <c r="E2210" s="2171">
        <v>4900</v>
      </c>
      <c r="F2210" s="2171">
        <v>3600</v>
      </c>
      <c r="G2210" s="2172">
        <f t="shared" si="416"/>
        <v>0.73469387755102045</v>
      </c>
    </row>
    <row r="2211" spans="1:7" ht="17.100000000000001" hidden="1" customHeight="1">
      <c r="A2211" s="548"/>
      <c r="B2211" s="746"/>
      <c r="C2211" s="2189" t="s">
        <v>663</v>
      </c>
      <c r="D2211" s="2190" t="s">
        <v>664</v>
      </c>
      <c r="E2211" s="2171">
        <v>200</v>
      </c>
      <c r="F2211" s="2171">
        <v>0</v>
      </c>
      <c r="G2211" s="2172">
        <f t="shared" si="416"/>
        <v>0</v>
      </c>
    </row>
    <row r="2212" spans="1:7" ht="17.100000000000001" customHeight="1">
      <c r="A2212" s="548"/>
      <c r="B2212" s="746"/>
      <c r="C2212" s="2189" t="s">
        <v>490</v>
      </c>
      <c r="D2212" s="2190" t="s">
        <v>491</v>
      </c>
      <c r="E2212" s="2171">
        <v>48000</v>
      </c>
      <c r="F2212" s="2171">
        <v>46000</v>
      </c>
      <c r="G2212" s="2172">
        <f t="shared" si="416"/>
        <v>0.95833333333333337</v>
      </c>
    </row>
    <row r="2213" spans="1:7" ht="17.100000000000001" customHeight="1">
      <c r="A2213" s="548"/>
      <c r="B2213" s="746"/>
      <c r="C2213" s="2189" t="s">
        <v>492</v>
      </c>
      <c r="D2213" s="2190" t="s">
        <v>493</v>
      </c>
      <c r="E2213" s="2171">
        <v>17212</v>
      </c>
      <c r="F2213" s="2171">
        <v>3000</v>
      </c>
      <c r="G2213" s="2172">
        <f t="shared" si="416"/>
        <v>0.17429700209156401</v>
      </c>
    </row>
    <row r="2214" spans="1:7" ht="17.100000000000001" customHeight="1">
      <c r="A2214" s="548"/>
      <c r="B2214" s="746"/>
      <c r="C2214" s="2189" t="s">
        <v>494</v>
      </c>
      <c r="D2214" s="2190" t="s">
        <v>495</v>
      </c>
      <c r="E2214" s="2171">
        <v>2000</v>
      </c>
      <c r="F2214" s="2171">
        <v>1800</v>
      </c>
      <c r="G2214" s="2172">
        <f t="shared" si="416"/>
        <v>0.9</v>
      </c>
    </row>
    <row r="2215" spans="1:7" ht="17.100000000000001" customHeight="1">
      <c r="A2215" s="548"/>
      <c r="B2215" s="746"/>
      <c r="C2215" s="2189" t="s">
        <v>496</v>
      </c>
      <c r="D2215" s="2190" t="s">
        <v>497</v>
      </c>
      <c r="E2215" s="2171">
        <v>80543</v>
      </c>
      <c r="F2215" s="2171">
        <v>35080</v>
      </c>
      <c r="G2215" s="2172">
        <f t="shared" si="416"/>
        <v>0.43554374681846963</v>
      </c>
    </row>
    <row r="2216" spans="1:7" ht="16.5" customHeight="1">
      <c r="A2216" s="548"/>
      <c r="B2216" s="746"/>
      <c r="C2216" s="2189" t="s">
        <v>498</v>
      </c>
      <c r="D2216" s="2190" t="s">
        <v>499</v>
      </c>
      <c r="E2216" s="2171">
        <v>4200</v>
      </c>
      <c r="F2216" s="2171">
        <v>5000</v>
      </c>
      <c r="G2216" s="2172">
        <f t="shared" si="416"/>
        <v>1.1904761904761905</v>
      </c>
    </row>
    <row r="2217" spans="1:7" ht="24" customHeight="1">
      <c r="A2217" s="548"/>
      <c r="B2217" s="746"/>
      <c r="C2217" s="2189" t="s">
        <v>502</v>
      </c>
      <c r="D2217" s="2190" t="s">
        <v>503</v>
      </c>
      <c r="E2217" s="2171">
        <v>66757</v>
      </c>
      <c r="F2217" s="2171">
        <v>67093</v>
      </c>
      <c r="G2217" s="2172">
        <f t="shared" si="416"/>
        <v>1.0050331800410444</v>
      </c>
    </row>
    <row r="2218" spans="1:7" ht="17.100000000000001" customHeight="1">
      <c r="A2218" s="548"/>
      <c r="B2218" s="746"/>
      <c r="C2218" s="2189" t="s">
        <v>504</v>
      </c>
      <c r="D2218" s="2190" t="s">
        <v>505</v>
      </c>
      <c r="E2218" s="2171">
        <v>1000</v>
      </c>
      <c r="F2218" s="2171">
        <v>1100</v>
      </c>
      <c r="G2218" s="2172">
        <f t="shared" si="416"/>
        <v>1.1000000000000001</v>
      </c>
    </row>
    <row r="2219" spans="1:7" ht="17.100000000000001" customHeight="1">
      <c r="A2219" s="548"/>
      <c r="B2219" s="746"/>
      <c r="C2219" s="2189" t="s">
        <v>630</v>
      </c>
      <c r="D2219" s="2190" t="s">
        <v>631</v>
      </c>
      <c r="E2219" s="2171">
        <v>0</v>
      </c>
      <c r="F2219" s="2171">
        <v>300</v>
      </c>
      <c r="G2219" s="2172"/>
    </row>
    <row r="2220" spans="1:7" ht="17.100000000000001" customHeight="1">
      <c r="A2220" s="548"/>
      <c r="B2220" s="746"/>
      <c r="C2220" s="2189" t="s">
        <v>506</v>
      </c>
      <c r="D2220" s="2190" t="s">
        <v>507</v>
      </c>
      <c r="E2220" s="2171">
        <v>4700</v>
      </c>
      <c r="F2220" s="2171">
        <v>4800</v>
      </c>
      <c r="G2220" s="2172">
        <f t="shared" si="416"/>
        <v>1.0212765957446808</v>
      </c>
    </row>
    <row r="2221" spans="1:7" ht="17.100000000000001" customHeight="1">
      <c r="A2221" s="548"/>
      <c r="B2221" s="746"/>
      <c r="C2221" s="2189" t="s">
        <v>508</v>
      </c>
      <c r="D2221" s="2190" t="s">
        <v>509</v>
      </c>
      <c r="E2221" s="2171">
        <v>20898</v>
      </c>
      <c r="F2221" s="2171">
        <v>20899</v>
      </c>
      <c r="G2221" s="2172">
        <f t="shared" si="416"/>
        <v>1.0000478514690401</v>
      </c>
    </row>
    <row r="2222" spans="1:7" ht="17.100000000000001" customHeight="1">
      <c r="A2222" s="548"/>
      <c r="B2222" s="746"/>
      <c r="C2222" s="2189" t="s">
        <v>510</v>
      </c>
      <c r="D2222" s="2190" t="s">
        <v>511</v>
      </c>
      <c r="E2222" s="2171">
        <v>2674</v>
      </c>
      <c r="F2222" s="2171">
        <v>2674</v>
      </c>
      <c r="G2222" s="2172">
        <f t="shared" si="416"/>
        <v>1</v>
      </c>
    </row>
    <row r="2223" spans="1:7" ht="17.100000000000001" customHeight="1">
      <c r="A2223" s="548"/>
      <c r="B2223" s="746"/>
      <c r="C2223" s="2189" t="s">
        <v>518</v>
      </c>
      <c r="D2223" s="2190" t="s">
        <v>519</v>
      </c>
      <c r="E2223" s="2171">
        <v>2350</v>
      </c>
      <c r="F2223" s="2171">
        <v>3350</v>
      </c>
      <c r="G2223" s="2172">
        <f t="shared" si="416"/>
        <v>1.425531914893617</v>
      </c>
    </row>
    <row r="2224" spans="1:7" ht="17.100000000000001" customHeight="1">
      <c r="A2224" s="548"/>
      <c r="B2224" s="746"/>
      <c r="C2224" s="595"/>
      <c r="D2224" s="654"/>
      <c r="E2224" s="574"/>
      <c r="F2224" s="574"/>
      <c r="G2224" s="1510"/>
    </row>
    <row r="2225" spans="1:7" ht="17.100000000000001" customHeight="1">
      <c r="A2225" s="548"/>
      <c r="B2225" s="746"/>
      <c r="C2225" s="2855" t="s">
        <v>520</v>
      </c>
      <c r="D2225" s="2855"/>
      <c r="E2225" s="551">
        <f t="shared" ref="E2225:F2225" si="423">E2226</f>
        <v>46886</v>
      </c>
      <c r="F2225" s="551">
        <f t="shared" si="423"/>
        <v>44960</v>
      </c>
      <c r="G2225" s="1438">
        <f t="shared" si="416"/>
        <v>0.9589216397218786</v>
      </c>
    </row>
    <row r="2226" spans="1:7" ht="18" customHeight="1">
      <c r="A2226" s="548"/>
      <c r="B2226" s="746"/>
      <c r="C2226" s="2225" t="s">
        <v>521</v>
      </c>
      <c r="D2226" s="2226" t="s">
        <v>522</v>
      </c>
      <c r="E2226" s="2193">
        <v>46886</v>
      </c>
      <c r="F2226" s="2193">
        <v>44960</v>
      </c>
      <c r="G2226" s="2194">
        <f t="shared" si="416"/>
        <v>0.9589216397218786</v>
      </c>
    </row>
    <row r="2227" spans="1:7" ht="18" customHeight="1">
      <c r="A2227" s="548"/>
      <c r="B2227" s="746"/>
      <c r="C2227" s="3065"/>
      <c r="D2227" s="3066"/>
      <c r="E2227" s="2193"/>
      <c r="F2227" s="2171"/>
      <c r="G2227" s="2194"/>
    </row>
    <row r="2228" spans="1:7" ht="18" customHeight="1">
      <c r="A2228" s="548"/>
      <c r="B2228" s="746"/>
      <c r="C2228" s="3033" t="s">
        <v>536</v>
      </c>
      <c r="D2228" s="3034"/>
      <c r="E2228" s="2171">
        <f>E2229+E2230</f>
        <v>963700</v>
      </c>
      <c r="F2228" s="2171">
        <f>F2229+F2230</f>
        <v>2257051</v>
      </c>
      <c r="G2228" s="2194">
        <f t="shared" si="416"/>
        <v>2.342068070976445</v>
      </c>
    </row>
    <row r="2229" spans="1:7" ht="18" customHeight="1">
      <c r="A2229" s="548"/>
      <c r="B2229" s="746"/>
      <c r="C2229" s="2116" t="s">
        <v>601</v>
      </c>
      <c r="D2229" s="2117" t="s">
        <v>497</v>
      </c>
      <c r="E2229" s="2171">
        <v>819145</v>
      </c>
      <c r="F2229" s="2171">
        <v>1918493</v>
      </c>
      <c r="G2229" s="2194">
        <f t="shared" si="416"/>
        <v>2.3420676437016645</v>
      </c>
    </row>
    <row r="2230" spans="1:7" ht="18" customHeight="1" thickBot="1">
      <c r="A2230" s="548"/>
      <c r="B2230" s="746"/>
      <c r="C2230" s="623" t="s">
        <v>558</v>
      </c>
      <c r="D2230" s="2227" t="s">
        <v>497</v>
      </c>
      <c r="E2230" s="655">
        <v>144555</v>
      </c>
      <c r="F2230" s="655">
        <v>338558</v>
      </c>
      <c r="G2230" s="2194">
        <f t="shared" si="416"/>
        <v>2.3420704922002007</v>
      </c>
    </row>
    <row r="2231" spans="1:7" ht="17.100000000000001" customHeight="1" thickBot="1">
      <c r="A2231" s="548"/>
      <c r="B2231" s="559" t="s">
        <v>202</v>
      </c>
      <c r="C2231" s="560"/>
      <c r="D2231" s="561" t="s">
        <v>239</v>
      </c>
      <c r="E2231" s="562">
        <f t="shared" ref="E2231:F2231" si="424">E2232</f>
        <v>13000</v>
      </c>
      <c r="F2231" s="562">
        <f t="shared" si="424"/>
        <v>10000</v>
      </c>
      <c r="G2231" s="1478">
        <f t="shared" si="416"/>
        <v>0.76923076923076927</v>
      </c>
    </row>
    <row r="2232" spans="1:7" ht="17.100000000000001" customHeight="1">
      <c r="A2232" s="548"/>
      <c r="B2232" s="746"/>
      <c r="C2232" s="2853" t="s">
        <v>470</v>
      </c>
      <c r="D2232" s="2853"/>
      <c r="E2232" s="549">
        <f>E2233+E2241</f>
        <v>13000</v>
      </c>
      <c r="F2232" s="549">
        <f>F2233+F2241</f>
        <v>10000</v>
      </c>
      <c r="G2232" s="1867">
        <f t="shared" si="416"/>
        <v>0.76923076923076927</v>
      </c>
    </row>
    <row r="2233" spans="1:7" ht="17.100000000000001" customHeight="1">
      <c r="A2233" s="548"/>
      <c r="B2233" s="746"/>
      <c r="C2233" s="3049" t="s">
        <v>471</v>
      </c>
      <c r="D2233" s="3049"/>
      <c r="E2233" s="2171">
        <f>E2237+E2234</f>
        <v>8000</v>
      </c>
      <c r="F2233" s="2171">
        <f>F2237+F2234</f>
        <v>5000</v>
      </c>
      <c r="G2233" s="2098">
        <f t="shared" si="416"/>
        <v>0.625</v>
      </c>
    </row>
    <row r="2234" spans="1:7" ht="17.100000000000001" hidden="1" customHeight="1">
      <c r="A2234" s="548"/>
      <c r="B2234" s="746"/>
      <c r="C2234" s="3030" t="s">
        <v>472</v>
      </c>
      <c r="D2234" s="3030"/>
      <c r="E2234" s="2171">
        <f>E2235</f>
        <v>0</v>
      </c>
      <c r="F2234" s="2171">
        <f>F2235</f>
        <v>0</v>
      </c>
      <c r="G2234" s="2098" t="e">
        <f t="shared" si="416"/>
        <v>#DIV/0!</v>
      </c>
    </row>
    <row r="2235" spans="1:7" ht="17.100000000000001" hidden="1" customHeight="1">
      <c r="A2235" s="548"/>
      <c r="B2235" s="746"/>
      <c r="C2235" s="2189" t="s">
        <v>481</v>
      </c>
      <c r="D2235" s="2190" t="s">
        <v>482</v>
      </c>
      <c r="E2235" s="2171">
        <v>0</v>
      </c>
      <c r="F2235" s="2097">
        <v>0</v>
      </c>
      <c r="G2235" s="2098" t="e">
        <f t="shared" si="416"/>
        <v>#DIV/0!</v>
      </c>
    </row>
    <row r="2236" spans="1:7" ht="17.100000000000001" hidden="1" customHeight="1">
      <c r="A2236" s="548"/>
      <c r="B2236" s="746"/>
      <c r="C2236" s="2188"/>
      <c r="D2236" s="2188"/>
      <c r="E2236" s="2171"/>
      <c r="F2236" s="2097"/>
      <c r="G2236" s="2098"/>
    </row>
    <row r="2237" spans="1:7" ht="17.100000000000001" customHeight="1">
      <c r="A2237" s="548"/>
      <c r="B2237" s="746"/>
      <c r="C2237" s="3054" t="s">
        <v>483</v>
      </c>
      <c r="D2237" s="3054"/>
      <c r="E2237" s="2171">
        <f>SUM(E2238:E2239)</f>
        <v>8000</v>
      </c>
      <c r="F2237" s="2171">
        <f>SUM(F2238:F2239)</f>
        <v>5000</v>
      </c>
      <c r="G2237" s="2098">
        <f t="shared" si="416"/>
        <v>0.625</v>
      </c>
    </row>
    <row r="2238" spans="1:7" ht="17.100000000000001" hidden="1" customHeight="1">
      <c r="A2238" s="548"/>
      <c r="B2238" s="746"/>
      <c r="C2238" s="2228" t="s">
        <v>486</v>
      </c>
      <c r="D2238" s="2229" t="s">
        <v>487</v>
      </c>
      <c r="E2238" s="2193">
        <v>0</v>
      </c>
      <c r="F2238" s="2230">
        <v>0</v>
      </c>
      <c r="G2238" s="2231" t="e">
        <f t="shared" si="416"/>
        <v>#DIV/0!</v>
      </c>
    </row>
    <row r="2239" spans="1:7" ht="17.100000000000001" customHeight="1">
      <c r="A2239" s="548"/>
      <c r="B2239" s="746"/>
      <c r="C2239" s="2232" t="s">
        <v>496</v>
      </c>
      <c r="D2239" s="2233" t="s">
        <v>497</v>
      </c>
      <c r="E2239" s="2193">
        <v>8000</v>
      </c>
      <c r="F2239" s="2193">
        <v>5000</v>
      </c>
      <c r="G2239" s="2231">
        <f t="shared" si="416"/>
        <v>0.625</v>
      </c>
    </row>
    <row r="2240" spans="1:7" ht="17.100000000000001" customHeight="1">
      <c r="A2240" s="548"/>
      <c r="B2240" s="746"/>
      <c r="C2240" s="2234"/>
      <c r="D2240" s="2233"/>
      <c r="E2240" s="2193"/>
      <c r="F2240" s="2193"/>
      <c r="G2240" s="2231"/>
    </row>
    <row r="2241" spans="1:7" ht="17.100000000000001" customHeight="1">
      <c r="A2241" s="548"/>
      <c r="B2241" s="746"/>
      <c r="C2241" s="3067" t="s">
        <v>567</v>
      </c>
      <c r="D2241" s="3068"/>
      <c r="E2241" s="2235">
        <f>E2242</f>
        <v>5000</v>
      </c>
      <c r="F2241" s="2235">
        <f>F2242</f>
        <v>5000</v>
      </c>
      <c r="G2241" s="2231">
        <f t="shared" si="416"/>
        <v>1</v>
      </c>
    </row>
    <row r="2242" spans="1:7" ht="49.5" customHeight="1" thickBot="1">
      <c r="A2242" s="548"/>
      <c r="B2242" s="746"/>
      <c r="C2242" s="2189" t="s">
        <v>582</v>
      </c>
      <c r="D2242" s="2190" t="s">
        <v>583</v>
      </c>
      <c r="E2242" s="2235">
        <v>5000</v>
      </c>
      <c r="F2242" s="552">
        <v>5000</v>
      </c>
      <c r="G2242" s="2231">
        <f t="shared" si="416"/>
        <v>1</v>
      </c>
    </row>
    <row r="2243" spans="1:7" ht="17.100000000000001" customHeight="1" thickBot="1">
      <c r="A2243" s="545" t="s">
        <v>132</v>
      </c>
      <c r="B2243" s="565"/>
      <c r="C2243" s="566"/>
      <c r="D2243" s="567" t="s">
        <v>911</v>
      </c>
      <c r="E2243" s="568">
        <f>E2244+E2248+E2271</f>
        <v>4032371</v>
      </c>
      <c r="F2243" s="568">
        <f t="shared" ref="F2243" si="425">F2244+F2248+F2271</f>
        <v>8133811</v>
      </c>
      <c r="G2243" s="1499">
        <f t="shared" si="416"/>
        <v>2.0171286322612678</v>
      </c>
    </row>
    <row r="2244" spans="1:7" ht="17.100000000000001" customHeight="1" thickBot="1">
      <c r="A2244" s="588"/>
      <c r="B2244" s="559" t="s">
        <v>197</v>
      </c>
      <c r="C2244" s="560"/>
      <c r="D2244" s="561" t="s">
        <v>204</v>
      </c>
      <c r="E2244" s="576">
        <f>E2245</f>
        <v>680000</v>
      </c>
      <c r="F2244" s="576">
        <f t="shared" ref="F2244:F2246" si="426">F2245</f>
        <v>5000000</v>
      </c>
      <c r="G2244" s="1536">
        <f t="shared" si="416"/>
        <v>7.3529411764705879</v>
      </c>
    </row>
    <row r="2245" spans="1:7" ht="17.100000000000001" customHeight="1">
      <c r="A2245" s="588"/>
      <c r="B2245" s="746"/>
      <c r="C2245" s="2853" t="s">
        <v>523</v>
      </c>
      <c r="D2245" s="2927"/>
      <c r="E2245" s="656">
        <f>E2246</f>
        <v>680000</v>
      </c>
      <c r="F2245" s="656">
        <f t="shared" si="426"/>
        <v>5000000</v>
      </c>
      <c r="G2245" s="2236">
        <f t="shared" si="416"/>
        <v>7.3529411764705879</v>
      </c>
    </row>
    <row r="2246" spans="1:7" ht="17.100000000000001" customHeight="1">
      <c r="A2246" s="588"/>
      <c r="B2246" s="746"/>
      <c r="C2246" s="3058" t="s">
        <v>524</v>
      </c>
      <c r="D2246" s="3052"/>
      <c r="E2246" s="2237">
        <f>E2247</f>
        <v>680000</v>
      </c>
      <c r="F2246" s="2237">
        <f t="shared" si="426"/>
        <v>5000000</v>
      </c>
      <c r="G2246" s="2238">
        <f t="shared" si="416"/>
        <v>7.3529411764705879</v>
      </c>
    </row>
    <row r="2247" spans="1:7" ht="40.5" customHeight="1" thickBot="1">
      <c r="A2247" s="588"/>
      <c r="B2247" s="746"/>
      <c r="C2247" s="2239" t="s">
        <v>642</v>
      </c>
      <c r="D2247" s="1669" t="s">
        <v>643</v>
      </c>
      <c r="E2247" s="583">
        <f>80000+600000</f>
        <v>680000</v>
      </c>
      <c r="F2247" s="583">
        <v>5000000</v>
      </c>
      <c r="G2247" s="2240">
        <f t="shared" si="416"/>
        <v>7.3529411764705879</v>
      </c>
    </row>
    <row r="2248" spans="1:7" ht="17.100000000000001" customHeight="1" thickBot="1">
      <c r="A2248" s="3069"/>
      <c r="B2248" s="559" t="s">
        <v>133</v>
      </c>
      <c r="C2248" s="2241"/>
      <c r="D2248" s="2242" t="s">
        <v>912</v>
      </c>
      <c r="E2248" s="562">
        <f>E2249+E2268</f>
        <v>3292371</v>
      </c>
      <c r="F2248" s="562">
        <f>F2249+F2268</f>
        <v>3133811</v>
      </c>
      <c r="G2248" s="1890">
        <f t="shared" si="416"/>
        <v>0.95184017840030788</v>
      </c>
    </row>
    <row r="2249" spans="1:7" ht="17.100000000000001" customHeight="1">
      <c r="A2249" s="3069"/>
      <c r="B2249" s="657"/>
      <c r="C2249" s="3025" t="s">
        <v>470</v>
      </c>
      <c r="D2249" s="2784"/>
      <c r="E2249" s="549">
        <f t="shared" ref="E2249:F2249" si="427">E2250+E2259+E2264</f>
        <v>3282371</v>
      </c>
      <c r="F2249" s="1866">
        <f t="shared" si="427"/>
        <v>3133811</v>
      </c>
      <c r="G2249" s="1867">
        <f t="shared" si="416"/>
        <v>0.95474003395716089</v>
      </c>
    </row>
    <row r="2250" spans="1:7" ht="17.100000000000001" customHeight="1">
      <c r="A2250" s="3069"/>
      <c r="B2250" s="550"/>
      <c r="C2250" s="3070" t="s">
        <v>471</v>
      </c>
      <c r="D2250" s="3071"/>
      <c r="E2250" s="2243">
        <f t="shared" ref="E2250:F2250" si="428">E2251+E2255</f>
        <v>47000</v>
      </c>
      <c r="F2250" s="2244">
        <f t="shared" si="428"/>
        <v>48040</v>
      </c>
      <c r="G2250" s="2245">
        <f t="shared" si="416"/>
        <v>1.0221276595744682</v>
      </c>
    </row>
    <row r="2251" spans="1:7" ht="17.100000000000001" customHeight="1">
      <c r="A2251" s="3069"/>
      <c r="B2251" s="550"/>
      <c r="C2251" s="3072" t="s">
        <v>472</v>
      </c>
      <c r="D2251" s="3073"/>
      <c r="E2251" s="2243">
        <f t="shared" ref="E2251:F2251" si="429">SUM(E2252:E2253)</f>
        <v>10000</v>
      </c>
      <c r="F2251" s="2244">
        <f t="shared" si="429"/>
        <v>10300</v>
      </c>
      <c r="G2251" s="2245">
        <f t="shared" si="416"/>
        <v>1.03</v>
      </c>
    </row>
    <row r="2252" spans="1:7" ht="17.100000000000001" customHeight="1">
      <c r="A2252" s="3069"/>
      <c r="B2252" s="550"/>
      <c r="C2252" s="2246" t="s">
        <v>477</v>
      </c>
      <c r="D2252" s="2247" t="s">
        <v>478</v>
      </c>
      <c r="E2252" s="2243">
        <v>8400</v>
      </c>
      <c r="F2252" s="2243">
        <v>8652</v>
      </c>
      <c r="G2252" s="2245">
        <f t="shared" si="416"/>
        <v>1.03</v>
      </c>
    </row>
    <row r="2253" spans="1:7" ht="27.75" customHeight="1">
      <c r="A2253" s="3069"/>
      <c r="B2253" s="550"/>
      <c r="C2253" s="2246" t="s">
        <v>479</v>
      </c>
      <c r="D2253" s="2247" t="s">
        <v>1028</v>
      </c>
      <c r="E2253" s="2243">
        <v>1600</v>
      </c>
      <c r="F2253" s="2243">
        <v>1648</v>
      </c>
      <c r="G2253" s="2245">
        <f t="shared" si="416"/>
        <v>1.03</v>
      </c>
    </row>
    <row r="2254" spans="1:7" ht="17.100000000000001" customHeight="1">
      <c r="A2254" s="3069"/>
      <c r="B2254" s="550"/>
      <c r="C2254" s="595"/>
      <c r="D2254" s="1658"/>
      <c r="E2254" s="574"/>
      <c r="F2254" s="574"/>
      <c r="G2254" s="2248"/>
    </row>
    <row r="2255" spans="1:7" ht="17.100000000000001" customHeight="1">
      <c r="A2255" s="3069"/>
      <c r="B2255" s="550"/>
      <c r="C2255" s="3074" t="s">
        <v>483</v>
      </c>
      <c r="D2255" s="3075"/>
      <c r="E2255" s="564">
        <f t="shared" ref="E2255:F2255" si="430">SUM(E2256:E2257)</f>
        <v>37000</v>
      </c>
      <c r="F2255" s="564">
        <f t="shared" si="430"/>
        <v>37740</v>
      </c>
      <c r="G2255" s="1497">
        <f t="shared" si="416"/>
        <v>1.02</v>
      </c>
    </row>
    <row r="2256" spans="1:7" ht="17.100000000000001" customHeight="1">
      <c r="A2256" s="3069"/>
      <c r="B2256" s="550"/>
      <c r="C2256" s="2189" t="s">
        <v>486</v>
      </c>
      <c r="D2256" s="2190" t="s">
        <v>487</v>
      </c>
      <c r="E2256" s="2235">
        <v>27000</v>
      </c>
      <c r="F2256" s="2235">
        <v>27540</v>
      </c>
      <c r="G2256" s="2249">
        <f t="shared" si="416"/>
        <v>1.02</v>
      </c>
    </row>
    <row r="2257" spans="1:7" ht="17.100000000000001" customHeight="1">
      <c r="A2257" s="3069"/>
      <c r="B2257" s="550"/>
      <c r="C2257" s="2191" t="s">
        <v>496</v>
      </c>
      <c r="D2257" s="2192" t="s">
        <v>497</v>
      </c>
      <c r="E2257" s="2193">
        <v>10000</v>
      </c>
      <c r="F2257" s="2193">
        <v>10200</v>
      </c>
      <c r="G2257" s="2231">
        <f t="shared" si="416"/>
        <v>1.02</v>
      </c>
    </row>
    <row r="2258" spans="1:7" ht="17.100000000000001" customHeight="1">
      <c r="A2258" s="3069"/>
      <c r="B2258" s="550"/>
      <c r="C2258" s="1926"/>
      <c r="D2258" s="1926"/>
      <c r="E2258" s="2250"/>
      <c r="F2258" s="2250"/>
      <c r="G2258" s="2251"/>
    </row>
    <row r="2259" spans="1:7" ht="17.100000000000001" customHeight="1">
      <c r="A2259" s="3069"/>
      <c r="B2259" s="550"/>
      <c r="C2259" s="3090" t="s">
        <v>913</v>
      </c>
      <c r="D2259" s="3091"/>
      <c r="E2259" s="2235">
        <f>SUM(E2260:E2262)</f>
        <v>2645371</v>
      </c>
      <c r="F2259" s="2235">
        <f t="shared" ref="F2259" si="431">SUM(F2260:F2262)</f>
        <v>2504371</v>
      </c>
      <c r="G2259" s="2249">
        <f t="shared" si="416"/>
        <v>0.94669934765293795</v>
      </c>
    </row>
    <row r="2260" spans="1:7" ht="49.5" customHeight="1">
      <c r="A2260" s="3069"/>
      <c r="B2260" s="550"/>
      <c r="C2260" s="2189" t="s">
        <v>582</v>
      </c>
      <c r="D2260" s="2190" t="s">
        <v>583</v>
      </c>
      <c r="E2260" s="2235">
        <f>11000+230000</f>
        <v>241000</v>
      </c>
      <c r="F2260" s="2235">
        <v>180000</v>
      </c>
      <c r="G2260" s="2249">
        <f t="shared" si="416"/>
        <v>0.74688796680497926</v>
      </c>
    </row>
    <row r="2261" spans="1:7" ht="32.25" hidden="1" customHeight="1">
      <c r="A2261" s="3069"/>
      <c r="B2261" s="550"/>
      <c r="C2261" s="2191" t="s">
        <v>277</v>
      </c>
      <c r="D2261" s="2192" t="s">
        <v>620</v>
      </c>
      <c r="E2261" s="2193"/>
      <c r="F2261" s="2193">
        <v>0</v>
      </c>
      <c r="G2261" s="2231" t="e">
        <f t="shared" si="416"/>
        <v>#DIV/0!</v>
      </c>
    </row>
    <row r="2262" spans="1:7" ht="25.5">
      <c r="A2262" s="3069"/>
      <c r="B2262" s="550"/>
      <c r="C2262" s="2191" t="s">
        <v>914</v>
      </c>
      <c r="D2262" s="2192" t="s">
        <v>915</v>
      </c>
      <c r="E2262" s="2193">
        <v>2404371</v>
      </c>
      <c r="F2262" s="2193">
        <v>2324371</v>
      </c>
      <c r="G2262" s="2231">
        <f t="shared" si="416"/>
        <v>0.96672726463594849</v>
      </c>
    </row>
    <row r="2263" spans="1:7" ht="17.100000000000001" customHeight="1">
      <c r="A2263" s="3069"/>
      <c r="B2263" s="550"/>
      <c r="C2263" s="3092"/>
      <c r="D2263" s="3093"/>
      <c r="E2263" s="2235"/>
      <c r="F2263" s="2235"/>
      <c r="G2263" s="2249"/>
    </row>
    <row r="2264" spans="1:7" ht="17.100000000000001" customHeight="1">
      <c r="A2264" s="3069"/>
      <c r="B2264" s="550"/>
      <c r="C2264" s="3094" t="s">
        <v>520</v>
      </c>
      <c r="D2264" s="3095"/>
      <c r="E2264" s="2235">
        <f>SUM(E2265:E2266)</f>
        <v>590000</v>
      </c>
      <c r="F2264" s="2235">
        <f t="shared" ref="F2264" si="432">SUM(F2265:F2266)</f>
        <v>581400</v>
      </c>
      <c r="G2264" s="2252">
        <f t="shared" si="416"/>
        <v>0.98542372881355933</v>
      </c>
    </row>
    <row r="2265" spans="1:7" ht="17.100000000000001" customHeight="1">
      <c r="A2265" s="3069"/>
      <c r="B2265" s="550"/>
      <c r="C2265" s="2253" t="s">
        <v>796</v>
      </c>
      <c r="D2265" s="2254" t="s">
        <v>797</v>
      </c>
      <c r="E2265" s="2193">
        <v>110000</v>
      </c>
      <c r="F2265" s="2193">
        <v>91800</v>
      </c>
      <c r="G2265" s="2231">
        <f t="shared" si="416"/>
        <v>0.83454545454545459</v>
      </c>
    </row>
    <row r="2266" spans="1:7" ht="17.100000000000001" customHeight="1" thickBot="1">
      <c r="A2266" s="3069"/>
      <c r="B2266" s="550"/>
      <c r="C2266" s="2255" t="s">
        <v>804</v>
      </c>
      <c r="D2266" s="2256" t="s">
        <v>805</v>
      </c>
      <c r="E2266" s="2235">
        <v>480000</v>
      </c>
      <c r="F2266" s="2235">
        <v>489600</v>
      </c>
      <c r="G2266" s="2249">
        <f t="shared" si="416"/>
        <v>1.02</v>
      </c>
    </row>
    <row r="2267" spans="1:7" ht="17.100000000000001" hidden="1" customHeight="1">
      <c r="A2267" s="753"/>
      <c r="B2267" s="550"/>
      <c r="C2267" s="748"/>
      <c r="D2267" s="745"/>
      <c r="E2267" s="551"/>
      <c r="F2267" s="714"/>
      <c r="G2267" s="610"/>
    </row>
    <row r="2268" spans="1:7" ht="17.100000000000001" hidden="1" customHeight="1">
      <c r="A2268" s="753"/>
      <c r="B2268" s="550"/>
      <c r="C2268" s="3096" t="s">
        <v>523</v>
      </c>
      <c r="D2268" s="3097"/>
      <c r="E2268" s="2257">
        <f>E2269</f>
        <v>10000</v>
      </c>
      <c r="F2268" s="2257">
        <f t="shared" ref="F2268:F2269" si="433">F2269</f>
        <v>0</v>
      </c>
      <c r="G2268" s="2258">
        <f t="shared" ref="G2268:G2270" si="434">F2268/E2268</f>
        <v>0</v>
      </c>
    </row>
    <row r="2269" spans="1:7" ht="17.100000000000001" hidden="1" customHeight="1">
      <c r="A2269" s="753"/>
      <c r="B2269" s="550"/>
      <c r="C2269" s="3098" t="s">
        <v>524</v>
      </c>
      <c r="D2269" s="3099"/>
      <c r="E2269" s="2237">
        <f>E2270</f>
        <v>10000</v>
      </c>
      <c r="F2269" s="2237">
        <f t="shared" si="433"/>
        <v>0</v>
      </c>
      <c r="G2269" s="2238">
        <f t="shared" si="434"/>
        <v>0</v>
      </c>
    </row>
    <row r="2270" spans="1:7" ht="37.5" hidden="1" customHeight="1" thickBot="1">
      <c r="A2270" s="753"/>
      <c r="B2270" s="550"/>
      <c r="C2270" s="2259" t="s">
        <v>642</v>
      </c>
      <c r="D2270" s="1669" t="s">
        <v>643</v>
      </c>
      <c r="E2270" s="583">
        <v>10000</v>
      </c>
      <c r="F2270" s="2260">
        <v>0</v>
      </c>
      <c r="G2270" s="2240">
        <f t="shared" si="434"/>
        <v>0</v>
      </c>
    </row>
    <row r="2271" spans="1:7" ht="17.100000000000001" hidden="1" customHeight="1" thickBot="1">
      <c r="A2271" s="753"/>
      <c r="B2271" s="559" t="s">
        <v>916</v>
      </c>
      <c r="C2271" s="2241"/>
      <c r="D2271" s="2242" t="s">
        <v>239</v>
      </c>
      <c r="E2271" s="576">
        <f>E2272</f>
        <v>60000</v>
      </c>
      <c r="F2271" s="576">
        <f t="shared" ref="F2271:F2273" si="435">F2272</f>
        <v>0</v>
      </c>
      <c r="G2271" s="1536">
        <f t="shared" si="416"/>
        <v>0</v>
      </c>
    </row>
    <row r="2272" spans="1:7" ht="17.100000000000001" hidden="1" customHeight="1">
      <c r="A2272" s="753"/>
      <c r="B2272" s="550"/>
      <c r="C2272" s="2853" t="s">
        <v>523</v>
      </c>
      <c r="D2272" s="2927"/>
      <c r="E2272" s="635">
        <f>E2273</f>
        <v>60000</v>
      </c>
      <c r="F2272" s="635">
        <f t="shared" si="435"/>
        <v>0</v>
      </c>
      <c r="G2272" s="2064">
        <f t="shared" si="416"/>
        <v>0</v>
      </c>
    </row>
    <row r="2273" spans="1:10" ht="17.100000000000001" hidden="1" customHeight="1">
      <c r="A2273" s="753"/>
      <c r="B2273" s="550"/>
      <c r="C2273" s="3076" t="s">
        <v>524</v>
      </c>
      <c r="D2273" s="3077"/>
      <c r="E2273" s="2261">
        <f>E2274</f>
        <v>60000</v>
      </c>
      <c r="F2273" s="2261">
        <f t="shared" si="435"/>
        <v>0</v>
      </c>
      <c r="G2273" s="2262">
        <f t="shared" si="416"/>
        <v>0</v>
      </c>
    </row>
    <row r="2274" spans="1:10" ht="41.25" hidden="1" customHeight="1" thickBot="1">
      <c r="A2274" s="548"/>
      <c r="B2274" s="658"/>
      <c r="C2274" s="2263" t="s">
        <v>642</v>
      </c>
      <c r="D2274" s="1669" t="s">
        <v>643</v>
      </c>
      <c r="E2274" s="552">
        <v>60000</v>
      </c>
      <c r="F2274" s="552">
        <v>0</v>
      </c>
      <c r="G2274" s="1445">
        <f t="shared" si="416"/>
        <v>0</v>
      </c>
    </row>
    <row r="2275" spans="1:10" ht="17.100000000000001" customHeight="1" thickBot="1">
      <c r="A2275" s="3078" t="s">
        <v>917</v>
      </c>
      <c r="B2275" s="3079"/>
      <c r="C2275" s="3079"/>
      <c r="D2275" s="3080"/>
      <c r="E2275" s="568">
        <f>E8+E174+E205+E245+E257+E425+E496+E529+E607+E647+E719+E1073+E1108+E1117+E1127+E1429+E1456+E1538+E1675+E1805+E1860+E1956+E2049+E2192+E2243+E1066</f>
        <v>1336141625</v>
      </c>
      <c r="F2275" s="568">
        <f>F8+F174+F205+F245+F257+F425+F496+F529+F607+F647+F719+F1073+F1108+F1117+F1127+F1429+F1456+F1538+F1675+F1805+F1860+F1956+F2049+F2192+F2243+F1066</f>
        <v>1335071005</v>
      </c>
      <c r="G2275" s="2264">
        <f t="shared" ref="G2275:G2290" si="436">F2275/E2275</f>
        <v>0.99919872266534615</v>
      </c>
    </row>
    <row r="2276" spans="1:10" ht="12.75" customHeight="1" thickBot="1">
      <c r="A2276" s="3081"/>
      <c r="B2276" s="3082"/>
      <c r="C2276" s="3082"/>
      <c r="D2276" s="3082"/>
      <c r="E2276" s="2265"/>
      <c r="F2276" s="2265"/>
      <c r="G2276" s="2266"/>
    </row>
    <row r="2277" spans="1:10" ht="17.100000000000001" customHeight="1" thickBot="1">
      <c r="A2277" s="3083" t="s">
        <v>2</v>
      </c>
      <c r="B2277" s="3084"/>
      <c r="C2277" s="3084"/>
      <c r="D2277" s="3084"/>
      <c r="E2277" s="659"/>
      <c r="F2277" s="659"/>
      <c r="G2277" s="2267"/>
    </row>
    <row r="2278" spans="1:10" ht="17.25" customHeight="1" thickBot="1">
      <c r="A2278" s="3085" t="s">
        <v>918</v>
      </c>
      <c r="B2278" s="3086"/>
      <c r="C2278" s="3086"/>
      <c r="D2278" s="3086"/>
      <c r="E2278" s="660">
        <f>E2279+E2282+E2283+E2284+E2285+E2286</f>
        <v>676113559</v>
      </c>
      <c r="F2278" s="660">
        <f>F2279+F2282+F2283+F2284+F2285+F2286</f>
        <v>682753296</v>
      </c>
      <c r="G2278" s="2268">
        <f t="shared" si="436"/>
        <v>1.0098204464495881</v>
      </c>
      <c r="I2278" s="661"/>
      <c r="J2278" s="661"/>
    </row>
    <row r="2279" spans="1:10" ht="17.100000000000001" customHeight="1">
      <c r="A2279" s="3087" t="s">
        <v>919</v>
      </c>
      <c r="B2279" s="3088"/>
      <c r="C2279" s="3088"/>
      <c r="D2279" s="3089"/>
      <c r="E2279" s="2269">
        <f>E2280+E2281</f>
        <v>273374690</v>
      </c>
      <c r="F2279" s="2269">
        <f>F2280+F2281</f>
        <v>293308206</v>
      </c>
      <c r="G2279" s="2270">
        <f t="shared" si="436"/>
        <v>1.0729164649441394</v>
      </c>
      <c r="I2279" s="661"/>
    </row>
    <row r="2280" spans="1:10" ht="19.5" customHeight="1">
      <c r="A2280" s="3112" t="s">
        <v>920</v>
      </c>
      <c r="B2280" s="3107"/>
      <c r="C2280" s="3107"/>
      <c r="D2280" s="3108"/>
      <c r="E2280" s="2271">
        <f>E12+E48+E73+E249+E318+E533+E568+E723+E736+E754+E850+E861+E942+E961+E1135+E1169+E1191+E1208+E1263+E1330+E1397+E1530+E1550+E1690+E1809+E1920+E1991+E2145+E2200+E2251+E1381+E156+E408+E458+E927+E2234+E1960+E2006+E2016+E2027+E2034</f>
        <v>132687539</v>
      </c>
      <c r="F2280" s="2271">
        <f>F12+F48+F73+F249+F318+F533+F568+F723+F736+F754+F850+F861+F942+F961+F1135+F1169+F1191+F1208+F1263+F1330+F1397+F1530+F1550+F1690+F1809+F1920+F1991+F2145+F2200+F2251+F1381+F156+F408+F458+F927+F2234+F1960+F2006+F2016+F2027+F2034</f>
        <v>141602878</v>
      </c>
      <c r="G2280" s="2272">
        <f t="shared" si="436"/>
        <v>1.0671904767183902</v>
      </c>
      <c r="I2280" s="661"/>
      <c r="J2280" s="661"/>
    </row>
    <row r="2281" spans="1:10" ht="18.75" customHeight="1">
      <c r="A2281" s="3106" t="s">
        <v>921</v>
      </c>
      <c r="B2281" s="3107"/>
      <c r="C2281" s="3107"/>
      <c r="D2281" s="3108"/>
      <c r="E2281" s="2271">
        <f>E19+E55+E79+E136+E162+E255+E261+E313+E325+E414+E429+E465+E501+E540+E575+E611+E730+E739+E761+E855+E864+E948+E964+E1121+E1142+E1175+E1197+E1215+E1270+E1337+E1403+E1433+E1445+E1499+E1515+E1525+E1533+E1557+E1697+E1815+E1864+E1927+E1949+E1971+E1996+E2011+E2021+E2037+E2150+E2207+E2237+E2255+E1387+E283+E930+E2128+E1070+E1460+E1981+E1187+E664+E304+E655</f>
        <v>140687151</v>
      </c>
      <c r="F2281" s="2271">
        <f>F19+F55+F79+F136+F162+F255+F261+F313+F325+F414+F429+F465+F501+F540+F575+F611+F730+F739+F761+F855+F864+F948+F964+F1121+F1142+F1175+F1197+F1215+F1270+F1337+F1403+F1433+F1445+F1499+F1515+F1525+F1533+F1557+F1697+F1815+F1864+F1927+F1949+F1971+F1996+F2011+F2021+F2037+F2150+F2207+F2237+F2255+F1387+F283+F930+F2128+F1070+F1460+F1981+F1187+F664+F304+F655</f>
        <v>151705328</v>
      </c>
      <c r="G2281" s="2272">
        <f t="shared" si="436"/>
        <v>1.07831686775717</v>
      </c>
    </row>
    <row r="2282" spans="1:10" ht="17.100000000000001" customHeight="1">
      <c r="A2282" s="3100" t="s">
        <v>922</v>
      </c>
      <c r="B2282" s="3101"/>
      <c r="C2282" s="3101"/>
      <c r="D2282" s="3102"/>
      <c r="E2282" s="2271">
        <f>E140+E172+E208+E266+E307+E384+E432+E873+E1103+E1408+E1463+E1478+E1502+E1510+E1520+E1541+E1580+E1605+E1678+E1774+E1869+E1952+E1976+E2052+E2061+E2070+E2075+E2092+E2098+E2107+E2116+E2131+E2259+E474+E512+E651+E1095+E1448+E1490+E1967+E2044+E2154+E2241+E1076+E667+E522+E601+E845+E1536+E400+E1854</f>
        <v>251902622</v>
      </c>
      <c r="F2282" s="2271">
        <f>F140+F172+F208+F266+F307+F384+F432+F873+F1103+F1408+F1463+F1478+F1502+F1510+F1520+F1541+F1580+F1605+F1678+F1774+F1869+F1952+F1976+F2052+F2061+F2070+F2075+F2092+F2098+F2107+F2116+F2131+F2259+F474+F512+F651+F1095+F1448+F1490+F1967+F2044+F2154+F2241+F1076+F667+F522+F601+F845+F1536+F400+F1854</f>
        <v>254351283</v>
      </c>
      <c r="G2282" s="2272">
        <f t="shared" si="436"/>
        <v>1.0097206649956982</v>
      </c>
    </row>
    <row r="2283" spans="1:10" ht="17.100000000000001" customHeight="1">
      <c r="A2283" s="3100" t="s">
        <v>923</v>
      </c>
      <c r="B2283" s="3101"/>
      <c r="C2283" s="3101"/>
      <c r="D2283" s="3102"/>
      <c r="E2283" s="2271">
        <f>E40+E68+E91+E351+E560+E591+E746+E785+E980+E1157+E1182+E1204+E1234+E1283+E1357+E1416+E1417+E1418+E1441+E1583+E1719+E1720+E1825+E1945+E2057+E2058+E2226+E2265+E2266+E956+E2136+E659</f>
        <v>3789485</v>
      </c>
      <c r="F2283" s="2271">
        <f>F40+F68+F91+F351+F560+F591+F746+F785+F980+F1157+F1182+F1204+F1234+F1283+F1357+F1416+F1417+F1418+F1441+F1583+F1719+F1720+F1825+F1945+F2057+F2058+F2226+F2265+F2266+F956+F2136+F659</f>
        <v>3170035</v>
      </c>
      <c r="G2283" s="2272">
        <f t="shared" si="436"/>
        <v>0.83653451590387617</v>
      </c>
      <c r="I2283" s="661"/>
      <c r="J2283" s="661"/>
    </row>
    <row r="2284" spans="1:10" ht="15.75" customHeight="1">
      <c r="A2284" s="3113" t="s">
        <v>924</v>
      </c>
      <c r="B2284" s="3101"/>
      <c r="C2284" s="3101"/>
      <c r="D2284" s="3102"/>
      <c r="E2284" s="2271">
        <f>E102+E177+E214+E673+E787+E877+E982+E1238+E1285+E1359+E1612+E1722+E1828+E1872+E2158+E593+E1437+E1781+E1420+E2228+E435+E353+E624+E476+E1888</f>
        <v>133536268</v>
      </c>
      <c r="F2284" s="2271">
        <f>F102+F177+F214+F673+F787+F877+F982+F1238+F1285+F1359+F1612+F1722+F1828+F1872+F2158+F593+F1437+F1781+F1420+F2228+F435+F353+F624+F476+F1888</f>
        <v>112217999</v>
      </c>
      <c r="G2284" s="2272">
        <f t="shared" si="436"/>
        <v>0.84035596232178666</v>
      </c>
    </row>
    <row r="2285" spans="1:10" ht="17.100000000000001" customHeight="1">
      <c r="A2285" s="3100" t="s">
        <v>925</v>
      </c>
      <c r="B2285" s="3101"/>
      <c r="C2285" s="3101"/>
      <c r="D2285" s="3102"/>
      <c r="E2285" s="2271">
        <f>E1116</f>
        <v>4755932</v>
      </c>
      <c r="F2285" s="2271">
        <f>F1116</f>
        <v>12010180</v>
      </c>
      <c r="G2285" s="2272">
        <f t="shared" si="436"/>
        <v>2.5253052398562468</v>
      </c>
    </row>
    <row r="2286" spans="1:10" ht="17.100000000000001" customHeight="1" thickBot="1">
      <c r="A2286" s="3100" t="s">
        <v>926</v>
      </c>
      <c r="B2286" s="3101"/>
      <c r="C2286" s="3101"/>
      <c r="D2286" s="3102"/>
      <c r="E2286" s="2271">
        <f>E1112</f>
        <v>8754562</v>
      </c>
      <c r="F2286" s="2271">
        <f>F1112</f>
        <v>7695593</v>
      </c>
      <c r="G2286" s="2273">
        <f t="shared" si="436"/>
        <v>0.87903803753974219</v>
      </c>
    </row>
    <row r="2287" spans="1:10" ht="15.75" customHeight="1" thickBot="1">
      <c r="A2287" s="3103" t="s">
        <v>927</v>
      </c>
      <c r="B2287" s="3104"/>
      <c r="C2287" s="3104"/>
      <c r="D2287" s="3105"/>
      <c r="E2287" s="2274">
        <f>E2288+E2290+E2291</f>
        <v>660028066</v>
      </c>
      <c r="F2287" s="2274">
        <f t="shared" ref="F2287" si="437">F2288+F2290+F2291</f>
        <v>652317709</v>
      </c>
      <c r="G2287" s="2268">
        <f t="shared" si="436"/>
        <v>0.9883181376714365</v>
      </c>
    </row>
    <row r="2288" spans="1:10" ht="17.100000000000001" customHeight="1">
      <c r="A2288" s="3087" t="s">
        <v>928</v>
      </c>
      <c r="B2288" s="3088"/>
      <c r="C2288" s="3088"/>
      <c r="D2288" s="3089"/>
      <c r="E2288" s="2269">
        <f>E42+E93+E144+E228+E270+E356+E387+E628+E828+E911+E1042+E1078+E1086+E1090+E1124+E1256+E1318+E1424+E1467+E1481+E1485+E1493+E1596+E1670+E1762+E2066+E2080+E2102+E2121+E2180+E2001+E710+E2112+E1160+E1366+E562+E286+E749+E151+E393+E403+E421+E452+E495+E516+E526+E937+E1098+E1131+E1545+E1686+E1802+E1858+E1986+E2246+E2273+E2047+E1506+E1602+E1453+E604+E1164+E2269+E396+E2195+E1908+E2140</f>
        <v>643053066</v>
      </c>
      <c r="F2288" s="2269">
        <f>F42+F93+F144+F228+F270+F356+F387+F628+F828+F911+F1042+F1078+F1086+F1090+F1124+F1256+F1318+F1424+F1467+F1481+F1485+F1493+F1596+F1670+F1762+F2066+F2080+F2102+F2121+F2180+F2001+F710+F2112+F1160+F1366+F562+F286+F749+F151+F393+F403+F421+F452+F495+F516+F526+F937+F1098+F1131+F1545+F1686+F1802+F1858+F1986+F2246+F2273+F2047+F1506+F1602+F1453+F604+F1164+F2269+F396+F2195+F1908+F2140+F1106</f>
        <v>646417709</v>
      </c>
      <c r="G2288" s="2270">
        <f t="shared" si="436"/>
        <v>1.0052322944682142</v>
      </c>
    </row>
    <row r="2289" spans="1:7" ht="18" customHeight="1">
      <c r="A2289" s="3106" t="s">
        <v>929</v>
      </c>
      <c r="B2289" s="3107"/>
      <c r="C2289" s="3107"/>
      <c r="D2289" s="3108"/>
      <c r="E2289" s="2271">
        <f>E98+E241+E276+E370+E639+E837+E919+E1057+E1769+E2188+E716+E1324+E294+E1373+E2087+E1913</f>
        <v>445537540</v>
      </c>
      <c r="F2289" s="2271">
        <f>F98+F241+F276+F370+F639+F837+F919+F1057+F1769+F2188+F716+F1324+F294+F1373+F2087+F1913</f>
        <v>442782434</v>
      </c>
      <c r="G2289" s="2272">
        <f t="shared" si="436"/>
        <v>0.99381622028976502</v>
      </c>
    </row>
    <row r="2290" spans="1:7" ht="17.100000000000001" customHeight="1">
      <c r="A2290" s="3100" t="s">
        <v>930</v>
      </c>
      <c r="B2290" s="3101"/>
      <c r="C2290" s="3101"/>
      <c r="D2290" s="3102"/>
      <c r="E2290" s="2271">
        <f>E1054+E1475+E423</f>
        <v>16975000</v>
      </c>
      <c r="F2290" s="2271">
        <f>F1054+F1475+F423</f>
        <v>5900000</v>
      </c>
      <c r="G2290" s="2272">
        <f t="shared" si="436"/>
        <v>0.34756995581737848</v>
      </c>
    </row>
    <row r="2291" spans="1:7" ht="17.100000000000001" customHeight="1" thickBot="1">
      <c r="A2291" s="3109" t="s">
        <v>931</v>
      </c>
      <c r="B2291" s="3110"/>
      <c r="C2291" s="3110"/>
      <c r="D2291" s="3111"/>
      <c r="E2291" s="2275">
        <v>0</v>
      </c>
      <c r="F2291" s="2275">
        <v>0</v>
      </c>
      <c r="G2291" s="2272"/>
    </row>
    <row r="2292" spans="1:7" ht="17.100000000000001" customHeight="1">
      <c r="A2292" s="662"/>
      <c r="B2292" s="662"/>
      <c r="C2292" s="662"/>
      <c r="D2292" s="662"/>
      <c r="E2292" s="663">
        <f>E2278+E2287</f>
        <v>1336141625</v>
      </c>
      <c r="F2292" s="663"/>
      <c r="G2292" s="664"/>
    </row>
    <row r="2293" spans="1:7" ht="17.100000000000001" customHeight="1">
      <c r="A2293" s="662"/>
      <c r="B2293" s="662"/>
      <c r="C2293" s="662"/>
      <c r="D2293" s="662"/>
      <c r="E2293" s="662"/>
      <c r="F2293" s="662"/>
      <c r="G2293" s="664"/>
    </row>
    <row r="2294" spans="1:7" ht="17.100000000000001" customHeight="1">
      <c r="A2294" s="662"/>
      <c r="B2294" s="662"/>
      <c r="C2294" s="662"/>
      <c r="D2294" s="662"/>
      <c r="E2294" s="662"/>
      <c r="F2294" s="662"/>
      <c r="G2294" s="664"/>
    </row>
    <row r="2295" spans="1:7" ht="17.100000000000001" customHeight="1">
      <c r="A2295" s="662"/>
      <c r="B2295" s="662"/>
      <c r="C2295" s="662"/>
      <c r="D2295" s="662"/>
      <c r="E2295" s="662"/>
      <c r="F2295" s="662"/>
      <c r="G2295" s="664"/>
    </row>
    <row r="2296" spans="1:7" ht="17.100000000000001" customHeight="1">
      <c r="A2296" s="662"/>
      <c r="B2296" s="662"/>
      <c r="C2296" s="662"/>
      <c r="D2296" s="662"/>
      <c r="E2296" s="662"/>
      <c r="F2296" s="662"/>
      <c r="G2296" s="664"/>
    </row>
    <row r="2297" spans="1:7" ht="17.100000000000001" customHeight="1">
      <c r="A2297" s="662"/>
      <c r="B2297" s="662"/>
      <c r="C2297" s="662"/>
      <c r="D2297" s="662"/>
      <c r="E2297" s="662"/>
      <c r="F2297" s="662"/>
      <c r="G2297" s="664"/>
    </row>
    <row r="2298" spans="1:7" ht="17.100000000000001" customHeight="1">
      <c r="A2298" s="662"/>
      <c r="B2298" s="662"/>
      <c r="C2298" s="662"/>
      <c r="D2298" s="662"/>
      <c r="E2298" s="662"/>
      <c r="F2298" s="662"/>
      <c r="G2298" s="664"/>
    </row>
    <row r="2299" spans="1:7">
      <c r="A2299" s="662"/>
      <c r="B2299" s="662"/>
      <c r="C2299" s="662"/>
      <c r="D2299" s="662"/>
      <c r="E2299" s="662"/>
      <c r="F2299" s="662"/>
      <c r="G2299" s="664"/>
    </row>
    <row r="2300" spans="1:7">
      <c r="A2300" s="662"/>
      <c r="B2300" s="662"/>
      <c r="C2300" s="662"/>
      <c r="D2300" s="662"/>
      <c r="E2300" s="662"/>
      <c r="F2300" s="662"/>
      <c r="G2300" s="664"/>
    </row>
    <row r="2301" spans="1:7">
      <c r="C2301" s="661"/>
    </row>
    <row r="2303" spans="1:7">
      <c r="C2303" s="661"/>
    </row>
    <row r="2305" spans="3:3">
      <c r="C2305" s="661"/>
    </row>
    <row r="2307" spans="3:3">
      <c r="C2307" s="661"/>
    </row>
    <row r="2309" spans="3:3">
      <c r="C2309" s="661"/>
    </row>
    <row r="2311" spans="3:3">
      <c r="C2311" s="661"/>
    </row>
    <row r="2313" spans="3:3">
      <c r="C2313" s="661"/>
    </row>
    <row r="2315" spans="3:3">
      <c r="C2315" s="661"/>
    </row>
    <row r="2317" spans="3:3">
      <c r="C2317" s="661"/>
    </row>
  </sheetData>
  <mergeCells count="665">
    <mergeCell ref="A2286:D2286"/>
    <mergeCell ref="A2287:D2287"/>
    <mergeCell ref="A2288:D2288"/>
    <mergeCell ref="A2289:D2289"/>
    <mergeCell ref="A2290:D2290"/>
    <mergeCell ref="A2291:D2291"/>
    <mergeCell ref="A2280:D2280"/>
    <mergeCell ref="A2281:D2281"/>
    <mergeCell ref="A2282:D2282"/>
    <mergeCell ref="A2283:D2283"/>
    <mergeCell ref="A2284:D2284"/>
    <mergeCell ref="A2285:D2285"/>
    <mergeCell ref="C2273:D2273"/>
    <mergeCell ref="A2275:D2275"/>
    <mergeCell ref="A2276:D2276"/>
    <mergeCell ref="A2277:D2277"/>
    <mergeCell ref="A2278:D2278"/>
    <mergeCell ref="A2279:D2279"/>
    <mergeCell ref="C2259:D2259"/>
    <mergeCell ref="C2263:D2263"/>
    <mergeCell ref="C2264:D2264"/>
    <mergeCell ref="C2268:D2268"/>
    <mergeCell ref="C2269:D2269"/>
    <mergeCell ref="C2272:D2272"/>
    <mergeCell ref="C2234:D2234"/>
    <mergeCell ref="C2237:D2237"/>
    <mergeCell ref="C2241:D2241"/>
    <mergeCell ref="C2245:D2245"/>
    <mergeCell ref="C2246:D2246"/>
    <mergeCell ref="A2248:A2266"/>
    <mergeCell ref="C2249:D2249"/>
    <mergeCell ref="C2250:D2250"/>
    <mergeCell ref="C2251:D2251"/>
    <mergeCell ref="C2255:D2255"/>
    <mergeCell ref="C2207:D2207"/>
    <mergeCell ref="C2225:D2225"/>
    <mergeCell ref="C2227:D2227"/>
    <mergeCell ref="C2228:D2228"/>
    <mergeCell ref="C2232:D2232"/>
    <mergeCell ref="C2233:D2233"/>
    <mergeCell ref="B2194:B2196"/>
    <mergeCell ref="C2194:D2194"/>
    <mergeCell ref="C2195:D2195"/>
    <mergeCell ref="C2198:D2198"/>
    <mergeCell ref="C2199:D2199"/>
    <mergeCell ref="C2200:D2200"/>
    <mergeCell ref="C2154:D2154"/>
    <mergeCell ref="C2158:D2158"/>
    <mergeCell ref="C2180:D2180"/>
    <mergeCell ref="C2181:D2181"/>
    <mergeCell ref="C2187:D2187"/>
    <mergeCell ref="C2188:D2188"/>
    <mergeCell ref="C2136:D2136"/>
    <mergeCell ref="C2138:D2138"/>
    <mergeCell ref="C2139:D2139"/>
    <mergeCell ref="C2140:D2140"/>
    <mergeCell ref="B2143:B2152"/>
    <mergeCell ref="C2143:D2143"/>
    <mergeCell ref="C2144:D2144"/>
    <mergeCell ref="C2145:D2145"/>
    <mergeCell ref="C2150:D2150"/>
    <mergeCell ref="B2115:B2117"/>
    <mergeCell ref="C2115:D2115"/>
    <mergeCell ref="C2116:D2116"/>
    <mergeCell ref="C2121:D2121"/>
    <mergeCell ref="C2122:D2122"/>
    <mergeCell ref="B2126:B2131"/>
    <mergeCell ref="C2126:D2126"/>
    <mergeCell ref="C2127:D2127"/>
    <mergeCell ref="C2128:D2128"/>
    <mergeCell ref="C2131:D2131"/>
    <mergeCell ref="B2106:B2109"/>
    <mergeCell ref="C2106:D2106"/>
    <mergeCell ref="C2107:D2107"/>
    <mergeCell ref="C2110:D2110"/>
    <mergeCell ref="C2111:D2111"/>
    <mergeCell ref="C2112:D2112"/>
    <mergeCell ref="B2091:B2095"/>
    <mergeCell ref="C2091:D2091"/>
    <mergeCell ref="C2092:D2092"/>
    <mergeCell ref="B2097:B2104"/>
    <mergeCell ref="C2097:D2097"/>
    <mergeCell ref="C2098:D2098"/>
    <mergeCell ref="C2102:D2102"/>
    <mergeCell ref="C2103:D2103"/>
    <mergeCell ref="B2074:B2082"/>
    <mergeCell ref="C2074:D2074"/>
    <mergeCell ref="C2075:D2075"/>
    <mergeCell ref="C2080:D2080"/>
    <mergeCell ref="C2081:D2081"/>
    <mergeCell ref="C2087:D2087"/>
    <mergeCell ref="B2060:B2063"/>
    <mergeCell ref="C2060:D2060"/>
    <mergeCell ref="C2061:D2061"/>
    <mergeCell ref="C2065:D2065"/>
    <mergeCell ref="C2066:D2066"/>
    <mergeCell ref="B2069:B2071"/>
    <mergeCell ref="C2069:D2069"/>
    <mergeCell ref="C2070:D2070"/>
    <mergeCell ref="C2042:D2042"/>
    <mergeCell ref="C2043:D2043"/>
    <mergeCell ref="C2045:D2045"/>
    <mergeCell ref="C2046:D2046"/>
    <mergeCell ref="C2047:D2047"/>
    <mergeCell ref="B2051:B2058"/>
    <mergeCell ref="C2051:D2051"/>
    <mergeCell ref="C2052:D2052"/>
    <mergeCell ref="C2056:D2056"/>
    <mergeCell ref="C2026:D2026"/>
    <mergeCell ref="C2027:D2027"/>
    <mergeCell ref="B2032:B2041"/>
    <mergeCell ref="C2032:D2032"/>
    <mergeCell ref="C2033:D2033"/>
    <mergeCell ref="C2034:D2034"/>
    <mergeCell ref="C2037:D2037"/>
    <mergeCell ref="B2014:B2023"/>
    <mergeCell ref="C2014:D2014"/>
    <mergeCell ref="C2015:D2015"/>
    <mergeCell ref="C2016:D2016"/>
    <mergeCell ref="C2021:D2021"/>
    <mergeCell ref="C2025:D2025"/>
    <mergeCell ref="C1999:D1999"/>
    <mergeCell ref="C2000:D2000"/>
    <mergeCell ref="C2001:D2001"/>
    <mergeCell ref="B2004:B2012"/>
    <mergeCell ref="C2004:D2004"/>
    <mergeCell ref="C2005:D2005"/>
    <mergeCell ref="C2006:D2006"/>
    <mergeCell ref="C2011:D2011"/>
    <mergeCell ref="C1980:D1980"/>
    <mergeCell ref="C1981:D1981"/>
    <mergeCell ref="B1985:B1987"/>
    <mergeCell ref="C1985:D1985"/>
    <mergeCell ref="C1986:D1986"/>
    <mergeCell ref="B1989:B1998"/>
    <mergeCell ref="C1989:D1989"/>
    <mergeCell ref="C1990:D1990"/>
    <mergeCell ref="C1991:D1991"/>
    <mergeCell ref="C1996:D1996"/>
    <mergeCell ref="B1969:B1973"/>
    <mergeCell ref="C1969:D1969"/>
    <mergeCell ref="C1970:D1970"/>
    <mergeCell ref="C1971:D1971"/>
    <mergeCell ref="C1976:D1976"/>
    <mergeCell ref="C1979:D1979"/>
    <mergeCell ref="C1958:D1958"/>
    <mergeCell ref="C1959:D1959"/>
    <mergeCell ref="C1960:D1960"/>
    <mergeCell ref="B1965:B1967"/>
    <mergeCell ref="C1965:D1965"/>
    <mergeCell ref="C1966:D1966"/>
    <mergeCell ref="B1947:B1953"/>
    <mergeCell ref="C1947:D1947"/>
    <mergeCell ref="C1948:D1948"/>
    <mergeCell ref="C1949:D1949"/>
    <mergeCell ref="C1951:D1951"/>
    <mergeCell ref="C1952:D1952"/>
    <mergeCell ref="C1918:D1918"/>
    <mergeCell ref="C1919:D1919"/>
    <mergeCell ref="C1920:D1920"/>
    <mergeCell ref="C1927:D1927"/>
    <mergeCell ref="B1936:B1945"/>
    <mergeCell ref="C1944:D1944"/>
    <mergeCell ref="C1888:D1888"/>
    <mergeCell ref="C1906:D1906"/>
    <mergeCell ref="C1907:D1907"/>
    <mergeCell ref="C1908:D1908"/>
    <mergeCell ref="C1912:D1912"/>
    <mergeCell ref="C1913:D1913"/>
    <mergeCell ref="C1863:D1863"/>
    <mergeCell ref="C1864:D1864"/>
    <mergeCell ref="C1868:D1868"/>
    <mergeCell ref="C1869:D1869"/>
    <mergeCell ref="C1872:D1872"/>
    <mergeCell ref="C1887:D1887"/>
    <mergeCell ref="C1853:D1853"/>
    <mergeCell ref="C1854:D1854"/>
    <mergeCell ref="B1857:B1859"/>
    <mergeCell ref="C1857:D1857"/>
    <mergeCell ref="C1858:D1858"/>
    <mergeCell ref="C1862:D1862"/>
    <mergeCell ref="C1809:D1809"/>
    <mergeCell ref="C1815:D1815"/>
    <mergeCell ref="B1820:B1825"/>
    <mergeCell ref="C1824:D1824"/>
    <mergeCell ref="B1827:B1829"/>
    <mergeCell ref="C1827:D1827"/>
    <mergeCell ref="C1828:D1828"/>
    <mergeCell ref="C1781:D1781"/>
    <mergeCell ref="C1800:D1800"/>
    <mergeCell ref="C1801:D1801"/>
    <mergeCell ref="C1802:D1802"/>
    <mergeCell ref="C1807:D1807"/>
    <mergeCell ref="C1808:D1808"/>
    <mergeCell ref="C1718:D1718"/>
    <mergeCell ref="C1722:D1722"/>
    <mergeCell ref="C1762:D1762"/>
    <mergeCell ref="C1763:D1763"/>
    <mergeCell ref="C1769:D1769"/>
    <mergeCell ref="B1773:B1776"/>
    <mergeCell ref="C1773:D1773"/>
    <mergeCell ref="C1774:D1774"/>
    <mergeCell ref="C1684:D1684"/>
    <mergeCell ref="C1685:D1685"/>
    <mergeCell ref="C1688:D1688"/>
    <mergeCell ref="C1689:D1689"/>
    <mergeCell ref="C1690:D1690"/>
    <mergeCell ref="C1697:D1697"/>
    <mergeCell ref="C1605:D1605"/>
    <mergeCell ref="C1612:D1612"/>
    <mergeCell ref="C1669:D1669"/>
    <mergeCell ref="C1670:D1670"/>
    <mergeCell ref="B1677:B1679"/>
    <mergeCell ref="C1677:D1677"/>
    <mergeCell ref="C1678:D1678"/>
    <mergeCell ref="C1591:D1591"/>
    <mergeCell ref="C1595:D1595"/>
    <mergeCell ref="C1596:D1596"/>
    <mergeCell ref="C1600:D1600"/>
    <mergeCell ref="C1601:D1601"/>
    <mergeCell ref="C1604:D1604"/>
    <mergeCell ref="C1548:D1548"/>
    <mergeCell ref="C1549:D1549"/>
    <mergeCell ref="C1550:D1550"/>
    <mergeCell ref="C1557:D1557"/>
    <mergeCell ref="C1580:D1580"/>
    <mergeCell ref="B1583:B1598"/>
    <mergeCell ref="C1583:D1583"/>
    <mergeCell ref="C1586:D1586"/>
    <mergeCell ref="C1587:D1587"/>
    <mergeCell ref="C1590:D1590"/>
    <mergeCell ref="B1540:B1542"/>
    <mergeCell ref="C1540:D1540"/>
    <mergeCell ref="C1541:D1541"/>
    <mergeCell ref="B1544:B1546"/>
    <mergeCell ref="C1544:D1544"/>
    <mergeCell ref="C1545:D1545"/>
    <mergeCell ref="C1528:D1528"/>
    <mergeCell ref="C1529:D1529"/>
    <mergeCell ref="C1530:D1530"/>
    <mergeCell ref="C1533:D1533"/>
    <mergeCell ref="C1535:D1535"/>
    <mergeCell ref="C1536:D1536"/>
    <mergeCell ref="C1514:D1514"/>
    <mergeCell ref="C1515:D1515"/>
    <mergeCell ref="C1520:D1520"/>
    <mergeCell ref="B1523:B1526"/>
    <mergeCell ref="C1523:D1523"/>
    <mergeCell ref="C1524:D1524"/>
    <mergeCell ref="C1525:D1525"/>
    <mergeCell ref="C1505:D1505"/>
    <mergeCell ref="C1506:D1506"/>
    <mergeCell ref="B1509:B1511"/>
    <mergeCell ref="C1509:D1509"/>
    <mergeCell ref="C1510:D1510"/>
    <mergeCell ref="C1513:D1513"/>
    <mergeCell ref="B1493:B1495"/>
    <mergeCell ref="C1493:D1493"/>
    <mergeCell ref="C1494:D1494"/>
    <mergeCell ref="C1497:D1497"/>
    <mergeCell ref="C1498:D1498"/>
    <mergeCell ref="B1499:B1503"/>
    <mergeCell ref="C1499:D1499"/>
    <mergeCell ref="C1502:D1502"/>
    <mergeCell ref="B1485:B1487"/>
    <mergeCell ref="C1485:D1485"/>
    <mergeCell ref="C1486:D1486"/>
    <mergeCell ref="C1489:D1489"/>
    <mergeCell ref="C1490:D1490"/>
    <mergeCell ref="C1492:D1492"/>
    <mergeCell ref="C1473:D1473"/>
    <mergeCell ref="C1474:D1474"/>
    <mergeCell ref="B1477:B1483"/>
    <mergeCell ref="C1477:D1477"/>
    <mergeCell ref="C1478:D1478"/>
    <mergeCell ref="C1481:D1481"/>
    <mergeCell ref="C1482:D1482"/>
    <mergeCell ref="C1452:D1452"/>
    <mergeCell ref="C1453:D1453"/>
    <mergeCell ref="B1458:B1468"/>
    <mergeCell ref="C1458:D1458"/>
    <mergeCell ref="C1459:D1459"/>
    <mergeCell ref="C1460:D1460"/>
    <mergeCell ref="C1463:D1463"/>
    <mergeCell ref="C1467:D1467"/>
    <mergeCell ref="C1468:D1468"/>
    <mergeCell ref="B1443:B1446"/>
    <mergeCell ref="C1443:D1443"/>
    <mergeCell ref="C1444:D1444"/>
    <mergeCell ref="C1445:D1445"/>
    <mergeCell ref="C1447:D1447"/>
    <mergeCell ref="C1448:D1448"/>
    <mergeCell ref="C1420:D1420"/>
    <mergeCell ref="C1424:D1424"/>
    <mergeCell ref="C1425:D1425"/>
    <mergeCell ref="B1431:B1441"/>
    <mergeCell ref="C1431:D1431"/>
    <mergeCell ref="C1432:D1432"/>
    <mergeCell ref="C1433:D1433"/>
    <mergeCell ref="C1437:D1437"/>
    <mergeCell ref="C1440:D1440"/>
    <mergeCell ref="C1395:D1395"/>
    <mergeCell ref="C1396:D1396"/>
    <mergeCell ref="C1397:D1397"/>
    <mergeCell ref="C1403:D1403"/>
    <mergeCell ref="C1408:D1408"/>
    <mergeCell ref="C1415:D1415"/>
    <mergeCell ref="C1366:D1366"/>
    <mergeCell ref="C1373:D1373"/>
    <mergeCell ref="C1379:D1379"/>
    <mergeCell ref="C1380:D1380"/>
    <mergeCell ref="C1381:D1381"/>
    <mergeCell ref="C1387:D1387"/>
    <mergeCell ref="C1329:D1329"/>
    <mergeCell ref="C1330:D1330"/>
    <mergeCell ref="C1337:D1337"/>
    <mergeCell ref="C1356:D1356"/>
    <mergeCell ref="C1359:D1359"/>
    <mergeCell ref="C1365:D1365"/>
    <mergeCell ref="C1282:D1282"/>
    <mergeCell ref="C1285:D1285"/>
    <mergeCell ref="C1317:D1317"/>
    <mergeCell ref="C1318:D1318"/>
    <mergeCell ref="C1324:D1324"/>
    <mergeCell ref="C1328:D1328"/>
    <mergeCell ref="C1256:D1256"/>
    <mergeCell ref="C1257:D1257"/>
    <mergeCell ref="C1261:D1261"/>
    <mergeCell ref="C1262:D1262"/>
    <mergeCell ref="C1263:D1263"/>
    <mergeCell ref="C1270:D1270"/>
    <mergeCell ref="C1206:D1206"/>
    <mergeCell ref="C1207:D1207"/>
    <mergeCell ref="C1208:D1208"/>
    <mergeCell ref="C1215:D1215"/>
    <mergeCell ref="C1234:D1234"/>
    <mergeCell ref="C1238:D1238"/>
    <mergeCell ref="C1184:D1184"/>
    <mergeCell ref="C1185:D1185"/>
    <mergeCell ref="C1186:D1186"/>
    <mergeCell ref="B1189:B1204"/>
    <mergeCell ref="C1189:D1189"/>
    <mergeCell ref="C1190:D1190"/>
    <mergeCell ref="C1191:D1191"/>
    <mergeCell ref="C1197:D1197"/>
    <mergeCell ref="C1203:D1203"/>
    <mergeCell ref="C1164:D1164"/>
    <mergeCell ref="B1167:B1182"/>
    <mergeCell ref="C1167:D1167"/>
    <mergeCell ref="C1168:D1168"/>
    <mergeCell ref="C1169:D1169"/>
    <mergeCell ref="C1175:D1175"/>
    <mergeCell ref="C1181:D1181"/>
    <mergeCell ref="C1142:D1142"/>
    <mergeCell ref="B1154:B1157"/>
    <mergeCell ref="C1156:D1156"/>
    <mergeCell ref="C1159:D1159"/>
    <mergeCell ref="C1160:D1160"/>
    <mergeCell ref="C1163:D1163"/>
    <mergeCell ref="B1129:B1131"/>
    <mergeCell ref="C1129:D1129"/>
    <mergeCell ref="C1130:D1130"/>
    <mergeCell ref="C1133:D1133"/>
    <mergeCell ref="C1134:D1134"/>
    <mergeCell ref="C1135:D1135"/>
    <mergeCell ref="B1114:B1116"/>
    <mergeCell ref="C1114:D1114"/>
    <mergeCell ref="C1115:D1115"/>
    <mergeCell ref="B1119:B1126"/>
    <mergeCell ref="C1119:D1119"/>
    <mergeCell ref="C1120:D1120"/>
    <mergeCell ref="C1121:D1121"/>
    <mergeCell ref="C1124:D1124"/>
    <mergeCell ref="C1125:D1125"/>
    <mergeCell ref="C1098:D1098"/>
    <mergeCell ref="C1099:D1099"/>
    <mergeCell ref="B1102:B1104"/>
    <mergeCell ref="C1102:D1102"/>
    <mergeCell ref="C1103:D1103"/>
    <mergeCell ref="B1110:B1112"/>
    <mergeCell ref="C1110:D1110"/>
    <mergeCell ref="C1111:D1111"/>
    <mergeCell ref="B1090:B1092"/>
    <mergeCell ref="C1090:D1090"/>
    <mergeCell ref="C1091:D1091"/>
    <mergeCell ref="C1094:D1094"/>
    <mergeCell ref="C1095:D1095"/>
    <mergeCell ref="C1097:D1097"/>
    <mergeCell ref="C1105:D1105"/>
    <mergeCell ref="C1106:D1106"/>
    <mergeCell ref="B1082:B1088"/>
    <mergeCell ref="C1082:D1082"/>
    <mergeCell ref="C1083:D1083"/>
    <mergeCell ref="C1085:D1085"/>
    <mergeCell ref="C1086:D1086"/>
    <mergeCell ref="C1087:D1087"/>
    <mergeCell ref="C1068:D1068"/>
    <mergeCell ref="C1069:D1069"/>
    <mergeCell ref="C1070:D1070"/>
    <mergeCell ref="C1075:D1075"/>
    <mergeCell ref="C1076:D1076"/>
    <mergeCell ref="B1078:B1080"/>
    <mergeCell ref="C1078:D1078"/>
    <mergeCell ref="C1079:D1079"/>
    <mergeCell ref="C982:D982"/>
    <mergeCell ref="A1039:A1057"/>
    <mergeCell ref="C1041:D1041"/>
    <mergeCell ref="C1042:D1042"/>
    <mergeCell ref="C1053:D1053"/>
    <mergeCell ref="C1054:D1054"/>
    <mergeCell ref="C1057:D1057"/>
    <mergeCell ref="C956:D956"/>
    <mergeCell ref="A958:A959"/>
    <mergeCell ref="B959:B1045"/>
    <mergeCell ref="C959:D959"/>
    <mergeCell ref="C960:D960"/>
    <mergeCell ref="C961:D961"/>
    <mergeCell ref="C964:D964"/>
    <mergeCell ref="C975:D975"/>
    <mergeCell ref="C979:D979"/>
    <mergeCell ref="C981:D981"/>
    <mergeCell ref="C936:D936"/>
    <mergeCell ref="C937:D937"/>
    <mergeCell ref="B940:B954"/>
    <mergeCell ref="C940:D940"/>
    <mergeCell ref="C941:D941"/>
    <mergeCell ref="C942:D942"/>
    <mergeCell ref="C948:D948"/>
    <mergeCell ref="C919:D919"/>
    <mergeCell ref="B925:B934"/>
    <mergeCell ref="C925:D925"/>
    <mergeCell ref="C926:D926"/>
    <mergeCell ref="C927:D927"/>
    <mergeCell ref="C930:D930"/>
    <mergeCell ref="C855:D855"/>
    <mergeCell ref="B859:B913"/>
    <mergeCell ref="C859:D859"/>
    <mergeCell ref="C860:D860"/>
    <mergeCell ref="C861:D861"/>
    <mergeCell ref="C864:D864"/>
    <mergeCell ref="C873:D873"/>
    <mergeCell ref="C877:D877"/>
    <mergeCell ref="C911:D911"/>
    <mergeCell ref="C912:D912"/>
    <mergeCell ref="C844:D844"/>
    <mergeCell ref="C845:D845"/>
    <mergeCell ref="B848:B852"/>
    <mergeCell ref="C848:D848"/>
    <mergeCell ref="C849:D849"/>
    <mergeCell ref="C850:D850"/>
    <mergeCell ref="C761:D761"/>
    <mergeCell ref="C784:D784"/>
    <mergeCell ref="C787:D787"/>
    <mergeCell ref="C828:D828"/>
    <mergeCell ref="C829:D829"/>
    <mergeCell ref="B833:B842"/>
    <mergeCell ref="C837:D837"/>
    <mergeCell ref="C747:D747"/>
    <mergeCell ref="C748:D748"/>
    <mergeCell ref="C749:D749"/>
    <mergeCell ref="C752:D752"/>
    <mergeCell ref="C753:D753"/>
    <mergeCell ref="C754:D754"/>
    <mergeCell ref="C730:D730"/>
    <mergeCell ref="C734:D734"/>
    <mergeCell ref="C735:D735"/>
    <mergeCell ref="C736:D736"/>
    <mergeCell ref="C739:D739"/>
    <mergeCell ref="C745:D745"/>
    <mergeCell ref="C708:D708"/>
    <mergeCell ref="C709:D709"/>
    <mergeCell ref="C710:D710"/>
    <mergeCell ref="C716:D716"/>
    <mergeCell ref="B721:B725"/>
    <mergeCell ref="C721:D721"/>
    <mergeCell ref="C722:D722"/>
    <mergeCell ref="C723:D723"/>
    <mergeCell ref="B662:B673"/>
    <mergeCell ref="C662:D662"/>
    <mergeCell ref="C663:D663"/>
    <mergeCell ref="C664:D664"/>
    <mergeCell ref="C667:D667"/>
    <mergeCell ref="C673:D673"/>
    <mergeCell ref="C650:D650"/>
    <mergeCell ref="B653:B660"/>
    <mergeCell ref="C653:D653"/>
    <mergeCell ref="C654:D654"/>
    <mergeCell ref="C655:D655"/>
    <mergeCell ref="C658:D658"/>
    <mergeCell ref="C659:D659"/>
    <mergeCell ref="C624:D624"/>
    <mergeCell ref="C627:D627"/>
    <mergeCell ref="C628:D628"/>
    <mergeCell ref="C638:D638"/>
    <mergeCell ref="C639:D639"/>
    <mergeCell ref="C649:D649"/>
    <mergeCell ref="C604:D604"/>
    <mergeCell ref="C605:D605"/>
    <mergeCell ref="B609:B617"/>
    <mergeCell ref="C609:D609"/>
    <mergeCell ref="C610:D610"/>
    <mergeCell ref="C611:D611"/>
    <mergeCell ref="C568:D568"/>
    <mergeCell ref="C575:D575"/>
    <mergeCell ref="C590:D590"/>
    <mergeCell ref="C593:D593"/>
    <mergeCell ref="B600:B602"/>
    <mergeCell ref="C600:D600"/>
    <mergeCell ref="C601:D601"/>
    <mergeCell ref="C559:D559"/>
    <mergeCell ref="C561:D561"/>
    <mergeCell ref="C562:D562"/>
    <mergeCell ref="C563:D563"/>
    <mergeCell ref="C566:D566"/>
    <mergeCell ref="C567:D567"/>
    <mergeCell ref="C525:D525"/>
    <mergeCell ref="C526:D526"/>
    <mergeCell ref="C531:D531"/>
    <mergeCell ref="C532:D532"/>
    <mergeCell ref="C533:D533"/>
    <mergeCell ref="C540:D540"/>
    <mergeCell ref="C501:D501"/>
    <mergeCell ref="C512:D512"/>
    <mergeCell ref="C515:D515"/>
    <mergeCell ref="C516:D516"/>
    <mergeCell ref="C521:D521"/>
    <mergeCell ref="C522:D522"/>
    <mergeCell ref="C473:D473"/>
    <mergeCell ref="C476:D476"/>
    <mergeCell ref="C493:D493"/>
    <mergeCell ref="C494:D494"/>
    <mergeCell ref="C498:D498"/>
    <mergeCell ref="C499:D499"/>
    <mergeCell ref="B456:B467"/>
    <mergeCell ref="C456:D456"/>
    <mergeCell ref="C457:D457"/>
    <mergeCell ref="C458:D458"/>
    <mergeCell ref="C464:D464"/>
    <mergeCell ref="C465:D465"/>
    <mergeCell ref="C429:D429"/>
    <mergeCell ref="C432:D432"/>
    <mergeCell ref="C435:D435"/>
    <mergeCell ref="C451:D451"/>
    <mergeCell ref="C452:D452"/>
    <mergeCell ref="C453:D453"/>
    <mergeCell ref="C419:D419"/>
    <mergeCell ref="C420:D420"/>
    <mergeCell ref="C422:D422"/>
    <mergeCell ref="C423:D423"/>
    <mergeCell ref="C427:D427"/>
    <mergeCell ref="C428:D428"/>
    <mergeCell ref="C400:D400"/>
    <mergeCell ref="C402:D402"/>
    <mergeCell ref="C403:D403"/>
    <mergeCell ref="B406:B416"/>
    <mergeCell ref="C406:D406"/>
    <mergeCell ref="C407:D407"/>
    <mergeCell ref="C408:D408"/>
    <mergeCell ref="C414:D414"/>
    <mergeCell ref="C388:D388"/>
    <mergeCell ref="C391:D391"/>
    <mergeCell ref="C392:D392"/>
    <mergeCell ref="C395:D395"/>
    <mergeCell ref="C396:D396"/>
    <mergeCell ref="C399:D399"/>
    <mergeCell ref="C356:D356"/>
    <mergeCell ref="C357:D357"/>
    <mergeCell ref="C370:D370"/>
    <mergeCell ref="C383:D383"/>
    <mergeCell ref="C384:D384"/>
    <mergeCell ref="C387:D387"/>
    <mergeCell ref="C316:D316"/>
    <mergeCell ref="C317:D317"/>
    <mergeCell ref="C318:D318"/>
    <mergeCell ref="C325:D325"/>
    <mergeCell ref="C350:D350"/>
    <mergeCell ref="C353:D353"/>
    <mergeCell ref="B302:B308"/>
    <mergeCell ref="C302:D302"/>
    <mergeCell ref="C303:D303"/>
    <mergeCell ref="C304:D304"/>
    <mergeCell ref="C307:D307"/>
    <mergeCell ref="B311:B314"/>
    <mergeCell ref="C311:D311"/>
    <mergeCell ref="C312:D312"/>
    <mergeCell ref="C313:D313"/>
    <mergeCell ref="C281:D281"/>
    <mergeCell ref="C282:D282"/>
    <mergeCell ref="C283:D283"/>
    <mergeCell ref="C285:D285"/>
    <mergeCell ref="C286:D286"/>
    <mergeCell ref="C294:D294"/>
    <mergeCell ref="B259:B279"/>
    <mergeCell ref="C259:D259"/>
    <mergeCell ref="C260:D260"/>
    <mergeCell ref="C261:D261"/>
    <mergeCell ref="C266:D266"/>
    <mergeCell ref="C270:D270"/>
    <mergeCell ref="C271:D271"/>
    <mergeCell ref="C276:D276"/>
    <mergeCell ref="C241:D241"/>
    <mergeCell ref="B247:B253"/>
    <mergeCell ref="C247:D247"/>
    <mergeCell ref="C248:D248"/>
    <mergeCell ref="C249:D249"/>
    <mergeCell ref="C255:D255"/>
    <mergeCell ref="C214:D214"/>
    <mergeCell ref="C227:D227"/>
    <mergeCell ref="C228:D228"/>
    <mergeCell ref="C229:D229"/>
    <mergeCell ref="B236:B238"/>
    <mergeCell ref="C236:D236"/>
    <mergeCell ref="C237:D237"/>
    <mergeCell ref="C162:D162"/>
    <mergeCell ref="C172:D172"/>
    <mergeCell ref="B176:B180"/>
    <mergeCell ref="C176:D176"/>
    <mergeCell ref="C177:D177"/>
    <mergeCell ref="B207:B210"/>
    <mergeCell ref="C207:D207"/>
    <mergeCell ref="C208:D208"/>
    <mergeCell ref="C150:D150"/>
    <mergeCell ref="C151:D151"/>
    <mergeCell ref="C154:D154"/>
    <mergeCell ref="C155:D155"/>
    <mergeCell ref="C156:D156"/>
    <mergeCell ref="C161:D161"/>
    <mergeCell ref="C134:D134"/>
    <mergeCell ref="C135:D135"/>
    <mergeCell ref="C136:D136"/>
    <mergeCell ref="C139:D139"/>
    <mergeCell ref="C140:D140"/>
    <mergeCell ref="B143:B148"/>
    <mergeCell ref="C143:D143"/>
    <mergeCell ref="C144:D144"/>
    <mergeCell ref="C145:D145"/>
    <mergeCell ref="C90:D90"/>
    <mergeCell ref="C93:D93"/>
    <mergeCell ref="C94:D94"/>
    <mergeCell ref="C98:D98"/>
    <mergeCell ref="B101:B132"/>
    <mergeCell ref="C101:D101"/>
    <mergeCell ref="C102:D102"/>
    <mergeCell ref="C47:D47"/>
    <mergeCell ref="C48:D48"/>
    <mergeCell ref="C55:D55"/>
    <mergeCell ref="C68:D68"/>
    <mergeCell ref="B71:B99"/>
    <mergeCell ref="C71:D71"/>
    <mergeCell ref="C72:D72"/>
    <mergeCell ref="C73:D73"/>
    <mergeCell ref="C79:D79"/>
    <mergeCell ref="C89:D89"/>
    <mergeCell ref="C38:D38"/>
    <mergeCell ref="C39:D39"/>
    <mergeCell ref="C41:D41"/>
    <mergeCell ref="C42:D42"/>
    <mergeCell ref="C43:D43"/>
    <mergeCell ref="C46:D46"/>
    <mergeCell ref="A3:F5"/>
    <mergeCell ref="B10:B12"/>
    <mergeCell ref="C10:D10"/>
    <mergeCell ref="C11:D11"/>
    <mergeCell ref="C12:D12"/>
    <mergeCell ref="C19:D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  <rowBreaks count="14" manualBreakCount="14">
    <brk id="213" max="5" man="1"/>
    <brk id="279" max="5" man="1"/>
    <brk id="417" max="5" man="1"/>
    <brk id="1107" max="5" man="1"/>
    <brk id="1116" max="5" man="1"/>
    <brk id="1466" max="5" man="1"/>
    <brk id="1507" max="5" man="1"/>
    <brk id="1674" max="5" man="1"/>
    <brk id="1975" max="5" man="1"/>
    <brk id="2030" max="5" man="1"/>
    <brk id="2086" max="5" man="1"/>
    <brk id="2138" max="5" man="1"/>
    <brk id="2191" max="5" man="1"/>
    <brk id="2242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1368"/>
  <sheetViews>
    <sheetView view="pageBreakPreview" topLeftCell="A1344" zoomScale="125" zoomScaleSheetLayoutView="125" workbookViewId="0">
      <selection activeCell="M8" sqref="M8"/>
    </sheetView>
  </sheetViews>
  <sheetFormatPr defaultRowHeight="12.75"/>
  <cols>
    <col min="1" max="1" width="3.5703125" style="1" customWidth="1"/>
    <col min="2" max="2" width="50.7109375" style="1" customWidth="1"/>
    <col min="3" max="4" width="7.7109375" style="122" customWidth="1"/>
    <col min="5" max="5" width="16.85546875" style="1" bestFit="1" customWidth="1"/>
    <col min="6" max="10" width="12.7109375" style="1" customWidth="1"/>
    <col min="11" max="11" width="11.42578125" style="100" bestFit="1" customWidth="1"/>
    <col min="12" max="12" width="11.140625" style="1" bestFit="1" customWidth="1"/>
    <col min="13" max="14" width="9.85546875" style="1" bestFit="1" customWidth="1"/>
    <col min="15" max="242" width="9.140625" style="1"/>
    <col min="243" max="243" width="4.28515625" style="1" bestFit="1" customWidth="1"/>
    <col min="244" max="244" width="6.85546875" style="1" bestFit="1" customWidth="1"/>
    <col min="245" max="245" width="11" style="1" customWidth="1"/>
    <col min="246" max="246" width="11.140625" style="1" bestFit="1" customWidth="1"/>
    <col min="247" max="247" width="10.85546875" style="1" customWidth="1"/>
    <col min="248" max="248" width="11.5703125" style="1" customWidth="1"/>
    <col min="249" max="249" width="11.140625" style="1" bestFit="1" customWidth="1"/>
    <col min="250" max="250" width="11" style="1" customWidth="1"/>
    <col min="251" max="251" width="10.42578125" style="1" customWidth="1"/>
    <col min="252" max="252" width="11.28515625" style="1" customWidth="1"/>
    <col min="253" max="254" width="9.140625" style="1" bestFit="1" customWidth="1"/>
    <col min="255" max="256" width="11.140625" style="1" bestFit="1" customWidth="1"/>
    <col min="257" max="257" width="11.5703125" style="1" bestFit="1" customWidth="1"/>
    <col min="258" max="258" width="9.140625" style="1" bestFit="1" customWidth="1"/>
    <col min="259" max="259" width="10.28515625" style="1" customWidth="1"/>
    <col min="260" max="498" width="9.140625" style="1"/>
    <col min="499" max="499" width="4.28515625" style="1" bestFit="1" customWidth="1"/>
    <col min="500" max="500" width="6.85546875" style="1" bestFit="1" customWidth="1"/>
    <col min="501" max="501" width="11" style="1" customWidth="1"/>
    <col min="502" max="502" width="11.140625" style="1" bestFit="1" customWidth="1"/>
    <col min="503" max="503" width="10.85546875" style="1" customWidth="1"/>
    <col min="504" max="504" width="11.5703125" style="1" customWidth="1"/>
    <col min="505" max="505" width="11.140625" style="1" bestFit="1" customWidth="1"/>
    <col min="506" max="506" width="11" style="1" customWidth="1"/>
    <col min="507" max="507" width="10.42578125" style="1" customWidth="1"/>
    <col min="508" max="508" width="11.28515625" style="1" customWidth="1"/>
    <col min="509" max="510" width="9.140625" style="1" bestFit="1" customWidth="1"/>
    <col min="511" max="512" width="11.140625" style="1" bestFit="1" customWidth="1"/>
    <col min="513" max="513" width="11.5703125" style="1" bestFit="1" customWidth="1"/>
    <col min="514" max="514" width="9.140625" style="1" bestFit="1" customWidth="1"/>
    <col min="515" max="515" width="10.28515625" style="1" customWidth="1"/>
    <col min="516" max="754" width="9.140625" style="1"/>
    <col min="755" max="755" width="4.28515625" style="1" bestFit="1" customWidth="1"/>
    <col min="756" max="756" width="6.85546875" style="1" bestFit="1" customWidth="1"/>
    <col min="757" max="757" width="11" style="1" customWidth="1"/>
    <col min="758" max="758" width="11.140625" style="1" bestFit="1" customWidth="1"/>
    <col min="759" max="759" width="10.85546875" style="1" customWidth="1"/>
    <col min="760" max="760" width="11.5703125" style="1" customWidth="1"/>
    <col min="761" max="761" width="11.140625" style="1" bestFit="1" customWidth="1"/>
    <col min="762" max="762" width="11" style="1" customWidth="1"/>
    <col min="763" max="763" width="10.42578125" style="1" customWidth="1"/>
    <col min="764" max="764" width="11.28515625" style="1" customWidth="1"/>
    <col min="765" max="766" width="9.140625" style="1" bestFit="1" customWidth="1"/>
    <col min="767" max="768" width="11.140625" style="1" bestFit="1" customWidth="1"/>
    <col min="769" max="769" width="11.5703125" style="1" bestFit="1" customWidth="1"/>
    <col min="770" max="770" width="9.140625" style="1" bestFit="1" customWidth="1"/>
    <col min="771" max="771" width="10.28515625" style="1" customWidth="1"/>
    <col min="772" max="1010" width="9.140625" style="1"/>
    <col min="1011" max="1011" width="4.28515625" style="1" bestFit="1" customWidth="1"/>
    <col min="1012" max="1012" width="6.85546875" style="1" bestFit="1" customWidth="1"/>
    <col min="1013" max="1013" width="11" style="1" customWidth="1"/>
    <col min="1014" max="1014" width="11.140625" style="1" bestFit="1" customWidth="1"/>
    <col min="1015" max="1015" width="10.85546875" style="1" customWidth="1"/>
    <col min="1016" max="1016" width="11.5703125" style="1" customWidth="1"/>
    <col min="1017" max="1017" width="11.140625" style="1" bestFit="1" customWidth="1"/>
    <col min="1018" max="1018" width="11" style="1" customWidth="1"/>
    <col min="1019" max="1019" width="10.42578125" style="1" customWidth="1"/>
    <col min="1020" max="1020" width="11.28515625" style="1" customWidth="1"/>
    <col min="1021" max="1022" width="9.140625" style="1" bestFit="1" customWidth="1"/>
    <col min="1023" max="1024" width="11.140625" style="1" bestFit="1" customWidth="1"/>
    <col min="1025" max="1025" width="11.5703125" style="1" bestFit="1" customWidth="1"/>
    <col min="1026" max="1026" width="9.140625" style="1" bestFit="1" customWidth="1"/>
    <col min="1027" max="1027" width="10.28515625" style="1" customWidth="1"/>
    <col min="1028" max="1266" width="9.140625" style="1"/>
    <col min="1267" max="1267" width="4.28515625" style="1" bestFit="1" customWidth="1"/>
    <col min="1268" max="1268" width="6.85546875" style="1" bestFit="1" customWidth="1"/>
    <col min="1269" max="1269" width="11" style="1" customWidth="1"/>
    <col min="1270" max="1270" width="11.140625" style="1" bestFit="1" customWidth="1"/>
    <col min="1271" max="1271" width="10.85546875" style="1" customWidth="1"/>
    <col min="1272" max="1272" width="11.5703125" style="1" customWidth="1"/>
    <col min="1273" max="1273" width="11.140625" style="1" bestFit="1" customWidth="1"/>
    <col min="1274" max="1274" width="11" style="1" customWidth="1"/>
    <col min="1275" max="1275" width="10.42578125" style="1" customWidth="1"/>
    <col min="1276" max="1276" width="11.28515625" style="1" customWidth="1"/>
    <col min="1277" max="1278" width="9.140625" style="1" bestFit="1" customWidth="1"/>
    <col min="1279" max="1280" width="11.140625" style="1" bestFit="1" customWidth="1"/>
    <col min="1281" max="1281" width="11.5703125" style="1" bestFit="1" customWidth="1"/>
    <col min="1282" max="1282" width="9.140625" style="1" bestFit="1" customWidth="1"/>
    <col min="1283" max="1283" width="10.28515625" style="1" customWidth="1"/>
    <col min="1284" max="1522" width="9.140625" style="1"/>
    <col min="1523" max="1523" width="4.28515625" style="1" bestFit="1" customWidth="1"/>
    <col min="1524" max="1524" width="6.85546875" style="1" bestFit="1" customWidth="1"/>
    <col min="1525" max="1525" width="11" style="1" customWidth="1"/>
    <col min="1526" max="1526" width="11.140625" style="1" bestFit="1" customWidth="1"/>
    <col min="1527" max="1527" width="10.85546875" style="1" customWidth="1"/>
    <col min="1528" max="1528" width="11.5703125" style="1" customWidth="1"/>
    <col min="1529" max="1529" width="11.140625" style="1" bestFit="1" customWidth="1"/>
    <col min="1530" max="1530" width="11" style="1" customWidth="1"/>
    <col min="1531" max="1531" width="10.42578125" style="1" customWidth="1"/>
    <col min="1532" max="1532" width="11.28515625" style="1" customWidth="1"/>
    <col min="1533" max="1534" width="9.140625" style="1" bestFit="1" customWidth="1"/>
    <col min="1535" max="1536" width="11.140625" style="1" bestFit="1" customWidth="1"/>
    <col min="1537" max="1537" width="11.5703125" style="1" bestFit="1" customWidth="1"/>
    <col min="1538" max="1538" width="9.140625" style="1" bestFit="1" customWidth="1"/>
    <col min="1539" max="1539" width="10.28515625" style="1" customWidth="1"/>
    <col min="1540" max="1778" width="9.140625" style="1"/>
    <col min="1779" max="1779" width="4.28515625" style="1" bestFit="1" customWidth="1"/>
    <col min="1780" max="1780" width="6.85546875" style="1" bestFit="1" customWidth="1"/>
    <col min="1781" max="1781" width="11" style="1" customWidth="1"/>
    <col min="1782" max="1782" width="11.140625" style="1" bestFit="1" customWidth="1"/>
    <col min="1783" max="1783" width="10.85546875" style="1" customWidth="1"/>
    <col min="1784" max="1784" width="11.5703125" style="1" customWidth="1"/>
    <col min="1785" max="1785" width="11.140625" style="1" bestFit="1" customWidth="1"/>
    <col min="1786" max="1786" width="11" style="1" customWidth="1"/>
    <col min="1787" max="1787" width="10.42578125" style="1" customWidth="1"/>
    <col min="1788" max="1788" width="11.28515625" style="1" customWidth="1"/>
    <col min="1789" max="1790" width="9.140625" style="1" bestFit="1" customWidth="1"/>
    <col min="1791" max="1792" width="11.140625" style="1" bestFit="1" customWidth="1"/>
    <col min="1793" max="1793" width="11.5703125" style="1" bestFit="1" customWidth="1"/>
    <col min="1794" max="1794" width="9.140625" style="1" bestFit="1" customWidth="1"/>
    <col min="1795" max="1795" width="10.28515625" style="1" customWidth="1"/>
    <col min="1796" max="2034" width="9.140625" style="1"/>
    <col min="2035" max="2035" width="4.28515625" style="1" bestFit="1" customWidth="1"/>
    <col min="2036" max="2036" width="6.85546875" style="1" bestFit="1" customWidth="1"/>
    <col min="2037" max="2037" width="11" style="1" customWidth="1"/>
    <col min="2038" max="2038" width="11.140625" style="1" bestFit="1" customWidth="1"/>
    <col min="2039" max="2039" width="10.85546875" style="1" customWidth="1"/>
    <col min="2040" max="2040" width="11.5703125" style="1" customWidth="1"/>
    <col min="2041" max="2041" width="11.140625" style="1" bestFit="1" customWidth="1"/>
    <col min="2042" max="2042" width="11" style="1" customWidth="1"/>
    <col min="2043" max="2043" width="10.42578125" style="1" customWidth="1"/>
    <col min="2044" max="2044" width="11.28515625" style="1" customWidth="1"/>
    <col min="2045" max="2046" width="9.140625" style="1" bestFit="1" customWidth="1"/>
    <col min="2047" max="2048" width="11.140625" style="1" bestFit="1" customWidth="1"/>
    <col min="2049" max="2049" width="11.5703125" style="1" bestFit="1" customWidth="1"/>
    <col min="2050" max="2050" width="9.140625" style="1" bestFit="1" customWidth="1"/>
    <col min="2051" max="2051" width="10.28515625" style="1" customWidth="1"/>
    <col min="2052" max="2290" width="9.140625" style="1"/>
    <col min="2291" max="2291" width="4.28515625" style="1" bestFit="1" customWidth="1"/>
    <col min="2292" max="2292" width="6.85546875" style="1" bestFit="1" customWidth="1"/>
    <col min="2293" max="2293" width="11" style="1" customWidth="1"/>
    <col min="2294" max="2294" width="11.140625" style="1" bestFit="1" customWidth="1"/>
    <col min="2295" max="2295" width="10.85546875" style="1" customWidth="1"/>
    <col min="2296" max="2296" width="11.5703125" style="1" customWidth="1"/>
    <col min="2297" max="2297" width="11.140625" style="1" bestFit="1" customWidth="1"/>
    <col min="2298" max="2298" width="11" style="1" customWidth="1"/>
    <col min="2299" max="2299" width="10.42578125" style="1" customWidth="1"/>
    <col min="2300" max="2300" width="11.28515625" style="1" customWidth="1"/>
    <col min="2301" max="2302" width="9.140625" style="1" bestFit="1" customWidth="1"/>
    <col min="2303" max="2304" width="11.140625" style="1" bestFit="1" customWidth="1"/>
    <col min="2305" max="2305" width="11.5703125" style="1" bestFit="1" customWidth="1"/>
    <col min="2306" max="2306" width="9.140625" style="1" bestFit="1" customWidth="1"/>
    <col min="2307" max="2307" width="10.28515625" style="1" customWidth="1"/>
    <col min="2308" max="2546" width="9.140625" style="1"/>
    <col min="2547" max="2547" width="4.28515625" style="1" bestFit="1" customWidth="1"/>
    <col min="2548" max="2548" width="6.85546875" style="1" bestFit="1" customWidth="1"/>
    <col min="2549" max="2549" width="11" style="1" customWidth="1"/>
    <col min="2550" max="2550" width="11.140625" style="1" bestFit="1" customWidth="1"/>
    <col min="2551" max="2551" width="10.85546875" style="1" customWidth="1"/>
    <col min="2552" max="2552" width="11.5703125" style="1" customWidth="1"/>
    <col min="2553" max="2553" width="11.140625" style="1" bestFit="1" customWidth="1"/>
    <col min="2554" max="2554" width="11" style="1" customWidth="1"/>
    <col min="2555" max="2555" width="10.42578125" style="1" customWidth="1"/>
    <col min="2556" max="2556" width="11.28515625" style="1" customWidth="1"/>
    <col min="2557" max="2558" width="9.140625" style="1" bestFit="1" customWidth="1"/>
    <col min="2559" max="2560" width="11.140625" style="1" bestFit="1" customWidth="1"/>
    <col min="2561" max="2561" width="11.5703125" style="1" bestFit="1" customWidth="1"/>
    <col min="2562" max="2562" width="9.140625" style="1" bestFit="1" customWidth="1"/>
    <col min="2563" max="2563" width="10.28515625" style="1" customWidth="1"/>
    <col min="2564" max="2802" width="9.140625" style="1"/>
    <col min="2803" max="2803" width="4.28515625" style="1" bestFit="1" customWidth="1"/>
    <col min="2804" max="2804" width="6.85546875" style="1" bestFit="1" customWidth="1"/>
    <col min="2805" max="2805" width="11" style="1" customWidth="1"/>
    <col min="2806" max="2806" width="11.140625" style="1" bestFit="1" customWidth="1"/>
    <col min="2807" max="2807" width="10.85546875" style="1" customWidth="1"/>
    <col min="2808" max="2808" width="11.5703125" style="1" customWidth="1"/>
    <col min="2809" max="2809" width="11.140625" style="1" bestFit="1" customWidth="1"/>
    <col min="2810" max="2810" width="11" style="1" customWidth="1"/>
    <col min="2811" max="2811" width="10.42578125" style="1" customWidth="1"/>
    <col min="2812" max="2812" width="11.28515625" style="1" customWidth="1"/>
    <col min="2813" max="2814" width="9.140625" style="1" bestFit="1" customWidth="1"/>
    <col min="2815" max="2816" width="11.140625" style="1" bestFit="1" customWidth="1"/>
    <col min="2817" max="2817" width="11.5703125" style="1" bestFit="1" customWidth="1"/>
    <col min="2818" max="2818" width="9.140625" style="1" bestFit="1" customWidth="1"/>
    <col min="2819" max="2819" width="10.28515625" style="1" customWidth="1"/>
    <col min="2820" max="3058" width="9.140625" style="1"/>
    <col min="3059" max="3059" width="4.28515625" style="1" bestFit="1" customWidth="1"/>
    <col min="3060" max="3060" width="6.85546875" style="1" bestFit="1" customWidth="1"/>
    <col min="3061" max="3061" width="11" style="1" customWidth="1"/>
    <col min="3062" max="3062" width="11.140625" style="1" bestFit="1" customWidth="1"/>
    <col min="3063" max="3063" width="10.85546875" style="1" customWidth="1"/>
    <col min="3064" max="3064" width="11.5703125" style="1" customWidth="1"/>
    <col min="3065" max="3065" width="11.140625" style="1" bestFit="1" customWidth="1"/>
    <col min="3066" max="3066" width="11" style="1" customWidth="1"/>
    <col min="3067" max="3067" width="10.42578125" style="1" customWidth="1"/>
    <col min="3068" max="3068" width="11.28515625" style="1" customWidth="1"/>
    <col min="3069" max="3070" width="9.140625" style="1" bestFit="1" customWidth="1"/>
    <col min="3071" max="3072" width="11.140625" style="1" bestFit="1" customWidth="1"/>
    <col min="3073" max="3073" width="11.5703125" style="1" bestFit="1" customWidth="1"/>
    <col min="3074" max="3074" width="9.140625" style="1" bestFit="1" customWidth="1"/>
    <col min="3075" max="3075" width="10.28515625" style="1" customWidth="1"/>
    <col min="3076" max="3314" width="9.140625" style="1"/>
    <col min="3315" max="3315" width="4.28515625" style="1" bestFit="1" customWidth="1"/>
    <col min="3316" max="3316" width="6.85546875" style="1" bestFit="1" customWidth="1"/>
    <col min="3317" max="3317" width="11" style="1" customWidth="1"/>
    <col min="3318" max="3318" width="11.140625" style="1" bestFit="1" customWidth="1"/>
    <col min="3319" max="3319" width="10.85546875" style="1" customWidth="1"/>
    <col min="3320" max="3320" width="11.5703125" style="1" customWidth="1"/>
    <col min="3321" max="3321" width="11.140625" style="1" bestFit="1" customWidth="1"/>
    <col min="3322" max="3322" width="11" style="1" customWidth="1"/>
    <col min="3323" max="3323" width="10.42578125" style="1" customWidth="1"/>
    <col min="3324" max="3324" width="11.28515625" style="1" customWidth="1"/>
    <col min="3325" max="3326" width="9.140625" style="1" bestFit="1" customWidth="1"/>
    <col min="3327" max="3328" width="11.140625" style="1" bestFit="1" customWidth="1"/>
    <col min="3329" max="3329" width="11.5703125" style="1" bestFit="1" customWidth="1"/>
    <col min="3330" max="3330" width="9.140625" style="1" bestFit="1" customWidth="1"/>
    <col min="3331" max="3331" width="10.28515625" style="1" customWidth="1"/>
    <col min="3332" max="3570" width="9.140625" style="1"/>
    <col min="3571" max="3571" width="4.28515625" style="1" bestFit="1" customWidth="1"/>
    <col min="3572" max="3572" width="6.85546875" style="1" bestFit="1" customWidth="1"/>
    <col min="3573" max="3573" width="11" style="1" customWidth="1"/>
    <col min="3574" max="3574" width="11.140625" style="1" bestFit="1" customWidth="1"/>
    <col min="3575" max="3575" width="10.85546875" style="1" customWidth="1"/>
    <col min="3576" max="3576" width="11.5703125" style="1" customWidth="1"/>
    <col min="3577" max="3577" width="11.140625" style="1" bestFit="1" customWidth="1"/>
    <col min="3578" max="3578" width="11" style="1" customWidth="1"/>
    <col min="3579" max="3579" width="10.42578125" style="1" customWidth="1"/>
    <col min="3580" max="3580" width="11.28515625" style="1" customWidth="1"/>
    <col min="3581" max="3582" width="9.140625" style="1" bestFit="1" customWidth="1"/>
    <col min="3583" max="3584" width="11.140625" style="1" bestFit="1" customWidth="1"/>
    <col min="3585" max="3585" width="11.5703125" style="1" bestFit="1" customWidth="1"/>
    <col min="3586" max="3586" width="9.140625" style="1" bestFit="1" customWidth="1"/>
    <col min="3587" max="3587" width="10.28515625" style="1" customWidth="1"/>
    <col min="3588" max="3826" width="9.140625" style="1"/>
    <col min="3827" max="3827" width="4.28515625" style="1" bestFit="1" customWidth="1"/>
    <col min="3828" max="3828" width="6.85546875" style="1" bestFit="1" customWidth="1"/>
    <col min="3829" max="3829" width="11" style="1" customWidth="1"/>
    <col min="3830" max="3830" width="11.140625" style="1" bestFit="1" customWidth="1"/>
    <col min="3831" max="3831" width="10.85546875" style="1" customWidth="1"/>
    <col min="3832" max="3832" width="11.5703125" style="1" customWidth="1"/>
    <col min="3833" max="3833" width="11.140625" style="1" bestFit="1" customWidth="1"/>
    <col min="3834" max="3834" width="11" style="1" customWidth="1"/>
    <col min="3835" max="3835" width="10.42578125" style="1" customWidth="1"/>
    <col min="3836" max="3836" width="11.28515625" style="1" customWidth="1"/>
    <col min="3837" max="3838" width="9.140625" style="1" bestFit="1" customWidth="1"/>
    <col min="3839" max="3840" width="11.140625" style="1" bestFit="1" customWidth="1"/>
    <col min="3841" max="3841" width="11.5703125" style="1" bestFit="1" customWidth="1"/>
    <col min="3842" max="3842" width="9.140625" style="1" bestFit="1" customWidth="1"/>
    <col min="3843" max="3843" width="10.28515625" style="1" customWidth="1"/>
    <col min="3844" max="4082" width="9.140625" style="1"/>
    <col min="4083" max="4083" width="4.28515625" style="1" bestFit="1" customWidth="1"/>
    <col min="4084" max="4084" width="6.85546875" style="1" bestFit="1" customWidth="1"/>
    <col min="4085" max="4085" width="11" style="1" customWidth="1"/>
    <col min="4086" max="4086" width="11.140625" style="1" bestFit="1" customWidth="1"/>
    <col min="4087" max="4087" width="10.85546875" style="1" customWidth="1"/>
    <col min="4088" max="4088" width="11.5703125" style="1" customWidth="1"/>
    <col min="4089" max="4089" width="11.140625" style="1" bestFit="1" customWidth="1"/>
    <col min="4090" max="4090" width="11" style="1" customWidth="1"/>
    <col min="4091" max="4091" width="10.42578125" style="1" customWidth="1"/>
    <col min="4092" max="4092" width="11.28515625" style="1" customWidth="1"/>
    <col min="4093" max="4094" width="9.140625" style="1" bestFit="1" customWidth="1"/>
    <col min="4095" max="4096" width="11.140625" style="1" bestFit="1" customWidth="1"/>
    <col min="4097" max="4097" width="11.5703125" style="1" bestFit="1" customWidth="1"/>
    <col min="4098" max="4098" width="9.140625" style="1" bestFit="1" customWidth="1"/>
    <col min="4099" max="4099" width="10.28515625" style="1" customWidth="1"/>
    <col min="4100" max="4338" width="9.140625" style="1"/>
    <col min="4339" max="4339" width="4.28515625" style="1" bestFit="1" customWidth="1"/>
    <col min="4340" max="4340" width="6.85546875" style="1" bestFit="1" customWidth="1"/>
    <col min="4341" max="4341" width="11" style="1" customWidth="1"/>
    <col min="4342" max="4342" width="11.140625" style="1" bestFit="1" customWidth="1"/>
    <col min="4343" max="4343" width="10.85546875" style="1" customWidth="1"/>
    <col min="4344" max="4344" width="11.5703125" style="1" customWidth="1"/>
    <col min="4345" max="4345" width="11.140625" style="1" bestFit="1" customWidth="1"/>
    <col min="4346" max="4346" width="11" style="1" customWidth="1"/>
    <col min="4347" max="4347" width="10.42578125" style="1" customWidth="1"/>
    <col min="4348" max="4348" width="11.28515625" style="1" customWidth="1"/>
    <col min="4349" max="4350" width="9.140625" style="1" bestFit="1" customWidth="1"/>
    <col min="4351" max="4352" width="11.140625" style="1" bestFit="1" customWidth="1"/>
    <col min="4353" max="4353" width="11.5703125" style="1" bestFit="1" customWidth="1"/>
    <col min="4354" max="4354" width="9.140625" style="1" bestFit="1" customWidth="1"/>
    <col min="4355" max="4355" width="10.28515625" style="1" customWidth="1"/>
    <col min="4356" max="4594" width="9.140625" style="1"/>
    <col min="4595" max="4595" width="4.28515625" style="1" bestFit="1" customWidth="1"/>
    <col min="4596" max="4596" width="6.85546875" style="1" bestFit="1" customWidth="1"/>
    <col min="4597" max="4597" width="11" style="1" customWidth="1"/>
    <col min="4598" max="4598" width="11.140625" style="1" bestFit="1" customWidth="1"/>
    <col min="4599" max="4599" width="10.85546875" style="1" customWidth="1"/>
    <col min="4600" max="4600" width="11.5703125" style="1" customWidth="1"/>
    <col min="4601" max="4601" width="11.140625" style="1" bestFit="1" customWidth="1"/>
    <col min="4602" max="4602" width="11" style="1" customWidth="1"/>
    <col min="4603" max="4603" width="10.42578125" style="1" customWidth="1"/>
    <col min="4604" max="4604" width="11.28515625" style="1" customWidth="1"/>
    <col min="4605" max="4606" width="9.140625" style="1" bestFit="1" customWidth="1"/>
    <col min="4607" max="4608" width="11.140625" style="1" bestFit="1" customWidth="1"/>
    <col min="4609" max="4609" width="11.5703125" style="1" bestFit="1" customWidth="1"/>
    <col min="4610" max="4610" width="9.140625" style="1" bestFit="1" customWidth="1"/>
    <col min="4611" max="4611" width="10.28515625" style="1" customWidth="1"/>
    <col min="4612" max="4850" width="9.140625" style="1"/>
    <col min="4851" max="4851" width="4.28515625" style="1" bestFit="1" customWidth="1"/>
    <col min="4852" max="4852" width="6.85546875" style="1" bestFit="1" customWidth="1"/>
    <col min="4853" max="4853" width="11" style="1" customWidth="1"/>
    <col min="4854" max="4854" width="11.140625" style="1" bestFit="1" customWidth="1"/>
    <col min="4855" max="4855" width="10.85546875" style="1" customWidth="1"/>
    <col min="4856" max="4856" width="11.5703125" style="1" customWidth="1"/>
    <col min="4857" max="4857" width="11.140625" style="1" bestFit="1" customWidth="1"/>
    <col min="4858" max="4858" width="11" style="1" customWidth="1"/>
    <col min="4859" max="4859" width="10.42578125" style="1" customWidth="1"/>
    <col min="4860" max="4860" width="11.28515625" style="1" customWidth="1"/>
    <col min="4861" max="4862" width="9.140625" style="1" bestFit="1" customWidth="1"/>
    <col min="4863" max="4864" width="11.140625" style="1" bestFit="1" customWidth="1"/>
    <col min="4865" max="4865" width="11.5703125" style="1" bestFit="1" customWidth="1"/>
    <col min="4866" max="4866" width="9.140625" style="1" bestFit="1" customWidth="1"/>
    <col min="4867" max="4867" width="10.28515625" style="1" customWidth="1"/>
    <col min="4868" max="5106" width="9.140625" style="1"/>
    <col min="5107" max="5107" width="4.28515625" style="1" bestFit="1" customWidth="1"/>
    <col min="5108" max="5108" width="6.85546875" style="1" bestFit="1" customWidth="1"/>
    <col min="5109" max="5109" width="11" style="1" customWidth="1"/>
    <col min="5110" max="5110" width="11.140625" style="1" bestFit="1" customWidth="1"/>
    <col min="5111" max="5111" width="10.85546875" style="1" customWidth="1"/>
    <col min="5112" max="5112" width="11.5703125" style="1" customWidth="1"/>
    <col min="5113" max="5113" width="11.140625" style="1" bestFit="1" customWidth="1"/>
    <col min="5114" max="5114" width="11" style="1" customWidth="1"/>
    <col min="5115" max="5115" width="10.42578125" style="1" customWidth="1"/>
    <col min="5116" max="5116" width="11.28515625" style="1" customWidth="1"/>
    <col min="5117" max="5118" width="9.140625" style="1" bestFit="1" customWidth="1"/>
    <col min="5119" max="5120" width="11.140625" style="1" bestFit="1" customWidth="1"/>
    <col min="5121" max="5121" width="11.5703125" style="1" bestFit="1" customWidth="1"/>
    <col min="5122" max="5122" width="9.140625" style="1" bestFit="1" customWidth="1"/>
    <col min="5123" max="5123" width="10.28515625" style="1" customWidth="1"/>
    <col min="5124" max="5362" width="9.140625" style="1"/>
    <col min="5363" max="5363" width="4.28515625" style="1" bestFit="1" customWidth="1"/>
    <col min="5364" max="5364" width="6.85546875" style="1" bestFit="1" customWidth="1"/>
    <col min="5365" max="5365" width="11" style="1" customWidth="1"/>
    <col min="5366" max="5366" width="11.140625" style="1" bestFit="1" customWidth="1"/>
    <col min="5367" max="5367" width="10.85546875" style="1" customWidth="1"/>
    <col min="5368" max="5368" width="11.5703125" style="1" customWidth="1"/>
    <col min="5369" max="5369" width="11.140625" style="1" bestFit="1" customWidth="1"/>
    <col min="5370" max="5370" width="11" style="1" customWidth="1"/>
    <col min="5371" max="5371" width="10.42578125" style="1" customWidth="1"/>
    <col min="5372" max="5372" width="11.28515625" style="1" customWidth="1"/>
    <col min="5373" max="5374" width="9.140625" style="1" bestFit="1" customWidth="1"/>
    <col min="5375" max="5376" width="11.140625" style="1" bestFit="1" customWidth="1"/>
    <col min="5377" max="5377" width="11.5703125" style="1" bestFit="1" customWidth="1"/>
    <col min="5378" max="5378" width="9.140625" style="1" bestFit="1" customWidth="1"/>
    <col min="5379" max="5379" width="10.28515625" style="1" customWidth="1"/>
    <col min="5380" max="5618" width="9.140625" style="1"/>
    <col min="5619" max="5619" width="4.28515625" style="1" bestFit="1" customWidth="1"/>
    <col min="5620" max="5620" width="6.85546875" style="1" bestFit="1" customWidth="1"/>
    <col min="5621" max="5621" width="11" style="1" customWidth="1"/>
    <col min="5622" max="5622" width="11.140625" style="1" bestFit="1" customWidth="1"/>
    <col min="5623" max="5623" width="10.85546875" style="1" customWidth="1"/>
    <col min="5624" max="5624" width="11.5703125" style="1" customWidth="1"/>
    <col min="5625" max="5625" width="11.140625" style="1" bestFit="1" customWidth="1"/>
    <col min="5626" max="5626" width="11" style="1" customWidth="1"/>
    <col min="5627" max="5627" width="10.42578125" style="1" customWidth="1"/>
    <col min="5628" max="5628" width="11.28515625" style="1" customWidth="1"/>
    <col min="5629" max="5630" width="9.140625" style="1" bestFit="1" customWidth="1"/>
    <col min="5631" max="5632" width="11.140625" style="1" bestFit="1" customWidth="1"/>
    <col min="5633" max="5633" width="11.5703125" style="1" bestFit="1" customWidth="1"/>
    <col min="5634" max="5634" width="9.140625" style="1" bestFit="1" customWidth="1"/>
    <col min="5635" max="5635" width="10.28515625" style="1" customWidth="1"/>
    <col min="5636" max="5874" width="9.140625" style="1"/>
    <col min="5875" max="5875" width="4.28515625" style="1" bestFit="1" customWidth="1"/>
    <col min="5876" max="5876" width="6.85546875" style="1" bestFit="1" customWidth="1"/>
    <col min="5877" max="5877" width="11" style="1" customWidth="1"/>
    <col min="5878" max="5878" width="11.140625" style="1" bestFit="1" customWidth="1"/>
    <col min="5879" max="5879" width="10.85546875" style="1" customWidth="1"/>
    <col min="5880" max="5880" width="11.5703125" style="1" customWidth="1"/>
    <col min="5881" max="5881" width="11.140625" style="1" bestFit="1" customWidth="1"/>
    <col min="5882" max="5882" width="11" style="1" customWidth="1"/>
    <col min="5883" max="5883" width="10.42578125" style="1" customWidth="1"/>
    <col min="5884" max="5884" width="11.28515625" style="1" customWidth="1"/>
    <col min="5885" max="5886" width="9.140625" style="1" bestFit="1" customWidth="1"/>
    <col min="5887" max="5888" width="11.140625" style="1" bestFit="1" customWidth="1"/>
    <col min="5889" max="5889" width="11.5703125" style="1" bestFit="1" customWidth="1"/>
    <col min="5890" max="5890" width="9.140625" style="1" bestFit="1" customWidth="1"/>
    <col min="5891" max="5891" width="10.28515625" style="1" customWidth="1"/>
    <col min="5892" max="6130" width="9.140625" style="1"/>
    <col min="6131" max="6131" width="4.28515625" style="1" bestFit="1" customWidth="1"/>
    <col min="6132" max="6132" width="6.85546875" style="1" bestFit="1" customWidth="1"/>
    <col min="6133" max="6133" width="11" style="1" customWidth="1"/>
    <col min="6134" max="6134" width="11.140625" style="1" bestFit="1" customWidth="1"/>
    <col min="6135" max="6135" width="10.85546875" style="1" customWidth="1"/>
    <col min="6136" max="6136" width="11.5703125" style="1" customWidth="1"/>
    <col min="6137" max="6137" width="11.140625" style="1" bestFit="1" customWidth="1"/>
    <col min="6138" max="6138" width="11" style="1" customWidth="1"/>
    <col min="6139" max="6139" width="10.42578125" style="1" customWidth="1"/>
    <col min="6140" max="6140" width="11.28515625" style="1" customWidth="1"/>
    <col min="6141" max="6142" width="9.140625" style="1" bestFit="1" customWidth="1"/>
    <col min="6143" max="6144" width="11.140625" style="1" bestFit="1" customWidth="1"/>
    <col min="6145" max="6145" width="11.5703125" style="1" bestFit="1" customWidth="1"/>
    <col min="6146" max="6146" width="9.140625" style="1" bestFit="1" customWidth="1"/>
    <col min="6147" max="6147" width="10.28515625" style="1" customWidth="1"/>
    <col min="6148" max="6386" width="9.140625" style="1"/>
    <col min="6387" max="6387" width="4.28515625" style="1" bestFit="1" customWidth="1"/>
    <col min="6388" max="6388" width="6.85546875" style="1" bestFit="1" customWidth="1"/>
    <col min="6389" max="6389" width="11" style="1" customWidth="1"/>
    <col min="6390" max="6390" width="11.140625" style="1" bestFit="1" customWidth="1"/>
    <col min="6391" max="6391" width="10.85546875" style="1" customWidth="1"/>
    <col min="6392" max="6392" width="11.5703125" style="1" customWidth="1"/>
    <col min="6393" max="6393" width="11.140625" style="1" bestFit="1" customWidth="1"/>
    <col min="6394" max="6394" width="11" style="1" customWidth="1"/>
    <col min="6395" max="6395" width="10.42578125" style="1" customWidth="1"/>
    <col min="6396" max="6396" width="11.28515625" style="1" customWidth="1"/>
    <col min="6397" max="6398" width="9.140625" style="1" bestFit="1" customWidth="1"/>
    <col min="6399" max="6400" width="11.140625" style="1" bestFit="1" customWidth="1"/>
    <col min="6401" max="6401" width="11.5703125" style="1" bestFit="1" customWidth="1"/>
    <col min="6402" max="6402" width="9.140625" style="1" bestFit="1" customWidth="1"/>
    <col min="6403" max="6403" width="10.28515625" style="1" customWidth="1"/>
    <col min="6404" max="6642" width="9.140625" style="1"/>
    <col min="6643" max="6643" width="4.28515625" style="1" bestFit="1" customWidth="1"/>
    <col min="6644" max="6644" width="6.85546875" style="1" bestFit="1" customWidth="1"/>
    <col min="6645" max="6645" width="11" style="1" customWidth="1"/>
    <col min="6646" max="6646" width="11.140625" style="1" bestFit="1" customWidth="1"/>
    <col min="6647" max="6647" width="10.85546875" style="1" customWidth="1"/>
    <col min="6648" max="6648" width="11.5703125" style="1" customWidth="1"/>
    <col min="6649" max="6649" width="11.140625" style="1" bestFit="1" customWidth="1"/>
    <col min="6650" max="6650" width="11" style="1" customWidth="1"/>
    <col min="6651" max="6651" width="10.42578125" style="1" customWidth="1"/>
    <col min="6652" max="6652" width="11.28515625" style="1" customWidth="1"/>
    <col min="6653" max="6654" width="9.140625" style="1" bestFit="1" customWidth="1"/>
    <col min="6655" max="6656" width="11.140625" style="1" bestFit="1" customWidth="1"/>
    <col min="6657" max="6657" width="11.5703125" style="1" bestFit="1" customWidth="1"/>
    <col min="6658" max="6658" width="9.140625" style="1" bestFit="1" customWidth="1"/>
    <col min="6659" max="6659" width="10.28515625" style="1" customWidth="1"/>
    <col min="6660" max="6898" width="9.140625" style="1"/>
    <col min="6899" max="6899" width="4.28515625" style="1" bestFit="1" customWidth="1"/>
    <col min="6900" max="6900" width="6.85546875" style="1" bestFit="1" customWidth="1"/>
    <col min="6901" max="6901" width="11" style="1" customWidth="1"/>
    <col min="6902" max="6902" width="11.140625" style="1" bestFit="1" customWidth="1"/>
    <col min="6903" max="6903" width="10.85546875" style="1" customWidth="1"/>
    <col min="6904" max="6904" width="11.5703125" style="1" customWidth="1"/>
    <col min="6905" max="6905" width="11.140625" style="1" bestFit="1" customWidth="1"/>
    <col min="6906" max="6906" width="11" style="1" customWidth="1"/>
    <col min="6907" max="6907" width="10.42578125" style="1" customWidth="1"/>
    <col min="6908" max="6908" width="11.28515625" style="1" customWidth="1"/>
    <col min="6909" max="6910" width="9.140625" style="1" bestFit="1" customWidth="1"/>
    <col min="6911" max="6912" width="11.140625" style="1" bestFit="1" customWidth="1"/>
    <col min="6913" max="6913" width="11.5703125" style="1" bestFit="1" customWidth="1"/>
    <col min="6914" max="6914" width="9.140625" style="1" bestFit="1" customWidth="1"/>
    <col min="6915" max="6915" width="10.28515625" style="1" customWidth="1"/>
    <col min="6916" max="7154" width="9.140625" style="1"/>
    <col min="7155" max="7155" width="4.28515625" style="1" bestFit="1" customWidth="1"/>
    <col min="7156" max="7156" width="6.85546875" style="1" bestFit="1" customWidth="1"/>
    <col min="7157" max="7157" width="11" style="1" customWidth="1"/>
    <col min="7158" max="7158" width="11.140625" style="1" bestFit="1" customWidth="1"/>
    <col min="7159" max="7159" width="10.85546875" style="1" customWidth="1"/>
    <col min="7160" max="7160" width="11.5703125" style="1" customWidth="1"/>
    <col min="7161" max="7161" width="11.140625" style="1" bestFit="1" customWidth="1"/>
    <col min="7162" max="7162" width="11" style="1" customWidth="1"/>
    <col min="7163" max="7163" width="10.42578125" style="1" customWidth="1"/>
    <col min="7164" max="7164" width="11.28515625" style="1" customWidth="1"/>
    <col min="7165" max="7166" width="9.140625" style="1" bestFit="1" customWidth="1"/>
    <col min="7167" max="7168" width="11.140625" style="1" bestFit="1" customWidth="1"/>
    <col min="7169" max="7169" width="11.5703125" style="1" bestFit="1" customWidth="1"/>
    <col min="7170" max="7170" width="9.140625" style="1" bestFit="1" customWidth="1"/>
    <col min="7171" max="7171" width="10.28515625" style="1" customWidth="1"/>
    <col min="7172" max="7410" width="9.140625" style="1"/>
    <col min="7411" max="7411" width="4.28515625" style="1" bestFit="1" customWidth="1"/>
    <col min="7412" max="7412" width="6.85546875" style="1" bestFit="1" customWidth="1"/>
    <col min="7413" max="7413" width="11" style="1" customWidth="1"/>
    <col min="7414" max="7414" width="11.140625" style="1" bestFit="1" customWidth="1"/>
    <col min="7415" max="7415" width="10.85546875" style="1" customWidth="1"/>
    <col min="7416" max="7416" width="11.5703125" style="1" customWidth="1"/>
    <col min="7417" max="7417" width="11.140625" style="1" bestFit="1" customWidth="1"/>
    <col min="7418" max="7418" width="11" style="1" customWidth="1"/>
    <col min="7419" max="7419" width="10.42578125" style="1" customWidth="1"/>
    <col min="7420" max="7420" width="11.28515625" style="1" customWidth="1"/>
    <col min="7421" max="7422" width="9.140625" style="1" bestFit="1" customWidth="1"/>
    <col min="7423" max="7424" width="11.140625" style="1" bestFit="1" customWidth="1"/>
    <col min="7425" max="7425" width="11.5703125" style="1" bestFit="1" customWidth="1"/>
    <col min="7426" max="7426" width="9.140625" style="1" bestFit="1" customWidth="1"/>
    <col min="7427" max="7427" width="10.28515625" style="1" customWidth="1"/>
    <col min="7428" max="7666" width="9.140625" style="1"/>
    <col min="7667" max="7667" width="4.28515625" style="1" bestFit="1" customWidth="1"/>
    <col min="7668" max="7668" width="6.85546875" style="1" bestFit="1" customWidth="1"/>
    <col min="7669" max="7669" width="11" style="1" customWidth="1"/>
    <col min="7670" max="7670" width="11.140625" style="1" bestFit="1" customWidth="1"/>
    <col min="7671" max="7671" width="10.85546875" style="1" customWidth="1"/>
    <col min="7672" max="7672" width="11.5703125" style="1" customWidth="1"/>
    <col min="7673" max="7673" width="11.140625" style="1" bestFit="1" customWidth="1"/>
    <col min="7674" max="7674" width="11" style="1" customWidth="1"/>
    <col min="7675" max="7675" width="10.42578125" style="1" customWidth="1"/>
    <col min="7676" max="7676" width="11.28515625" style="1" customWidth="1"/>
    <col min="7677" max="7678" width="9.140625" style="1" bestFit="1" customWidth="1"/>
    <col min="7679" max="7680" width="11.140625" style="1" bestFit="1" customWidth="1"/>
    <col min="7681" max="7681" width="11.5703125" style="1" bestFit="1" customWidth="1"/>
    <col min="7682" max="7682" width="9.140625" style="1" bestFit="1" customWidth="1"/>
    <col min="7683" max="7683" width="10.28515625" style="1" customWidth="1"/>
    <col min="7684" max="7922" width="9.140625" style="1"/>
    <col min="7923" max="7923" width="4.28515625" style="1" bestFit="1" customWidth="1"/>
    <col min="7924" max="7924" width="6.85546875" style="1" bestFit="1" customWidth="1"/>
    <col min="7925" max="7925" width="11" style="1" customWidth="1"/>
    <col min="7926" max="7926" width="11.140625" style="1" bestFit="1" customWidth="1"/>
    <col min="7927" max="7927" width="10.85546875" style="1" customWidth="1"/>
    <col min="7928" max="7928" width="11.5703125" style="1" customWidth="1"/>
    <col min="7929" max="7929" width="11.140625" style="1" bestFit="1" customWidth="1"/>
    <col min="7930" max="7930" width="11" style="1" customWidth="1"/>
    <col min="7931" max="7931" width="10.42578125" style="1" customWidth="1"/>
    <col min="7932" max="7932" width="11.28515625" style="1" customWidth="1"/>
    <col min="7933" max="7934" width="9.140625" style="1" bestFit="1" customWidth="1"/>
    <col min="7935" max="7936" width="11.140625" style="1" bestFit="1" customWidth="1"/>
    <col min="7937" max="7937" width="11.5703125" style="1" bestFit="1" customWidth="1"/>
    <col min="7938" max="7938" width="9.140625" style="1" bestFit="1" customWidth="1"/>
    <col min="7939" max="7939" width="10.28515625" style="1" customWidth="1"/>
    <col min="7940" max="8178" width="9.140625" style="1"/>
    <col min="8179" max="8179" width="4.28515625" style="1" bestFit="1" customWidth="1"/>
    <col min="8180" max="8180" width="6.85546875" style="1" bestFit="1" customWidth="1"/>
    <col min="8181" max="8181" width="11" style="1" customWidth="1"/>
    <col min="8182" max="8182" width="11.140625" style="1" bestFit="1" customWidth="1"/>
    <col min="8183" max="8183" width="10.85546875" style="1" customWidth="1"/>
    <col min="8184" max="8184" width="11.5703125" style="1" customWidth="1"/>
    <col min="8185" max="8185" width="11.140625" style="1" bestFit="1" customWidth="1"/>
    <col min="8186" max="8186" width="11" style="1" customWidth="1"/>
    <col min="8187" max="8187" width="10.42578125" style="1" customWidth="1"/>
    <col min="8188" max="8188" width="11.28515625" style="1" customWidth="1"/>
    <col min="8189" max="8190" width="9.140625" style="1" bestFit="1" customWidth="1"/>
    <col min="8191" max="8192" width="11.140625" style="1" bestFit="1" customWidth="1"/>
    <col min="8193" max="8193" width="11.5703125" style="1" bestFit="1" customWidth="1"/>
    <col min="8194" max="8194" width="9.140625" style="1" bestFit="1" customWidth="1"/>
    <col min="8195" max="8195" width="10.28515625" style="1" customWidth="1"/>
    <col min="8196" max="8434" width="9.140625" style="1"/>
    <col min="8435" max="8435" width="4.28515625" style="1" bestFit="1" customWidth="1"/>
    <col min="8436" max="8436" width="6.85546875" style="1" bestFit="1" customWidth="1"/>
    <col min="8437" max="8437" width="11" style="1" customWidth="1"/>
    <col min="8438" max="8438" width="11.140625" style="1" bestFit="1" customWidth="1"/>
    <col min="8439" max="8439" width="10.85546875" style="1" customWidth="1"/>
    <col min="8440" max="8440" width="11.5703125" style="1" customWidth="1"/>
    <col min="8441" max="8441" width="11.140625" style="1" bestFit="1" customWidth="1"/>
    <col min="8442" max="8442" width="11" style="1" customWidth="1"/>
    <col min="8443" max="8443" width="10.42578125" style="1" customWidth="1"/>
    <col min="8444" max="8444" width="11.28515625" style="1" customWidth="1"/>
    <col min="8445" max="8446" width="9.140625" style="1" bestFit="1" customWidth="1"/>
    <col min="8447" max="8448" width="11.140625" style="1" bestFit="1" customWidth="1"/>
    <col min="8449" max="8449" width="11.5703125" style="1" bestFit="1" customWidth="1"/>
    <col min="8450" max="8450" width="9.140625" style="1" bestFit="1" customWidth="1"/>
    <col min="8451" max="8451" width="10.28515625" style="1" customWidth="1"/>
    <col min="8452" max="8690" width="9.140625" style="1"/>
    <col min="8691" max="8691" width="4.28515625" style="1" bestFit="1" customWidth="1"/>
    <col min="8692" max="8692" width="6.85546875" style="1" bestFit="1" customWidth="1"/>
    <col min="8693" max="8693" width="11" style="1" customWidth="1"/>
    <col min="8694" max="8694" width="11.140625" style="1" bestFit="1" customWidth="1"/>
    <col min="8695" max="8695" width="10.85546875" style="1" customWidth="1"/>
    <col min="8696" max="8696" width="11.5703125" style="1" customWidth="1"/>
    <col min="8697" max="8697" width="11.140625" style="1" bestFit="1" customWidth="1"/>
    <col min="8698" max="8698" width="11" style="1" customWidth="1"/>
    <col min="8699" max="8699" width="10.42578125" style="1" customWidth="1"/>
    <col min="8700" max="8700" width="11.28515625" style="1" customWidth="1"/>
    <col min="8701" max="8702" width="9.140625" style="1" bestFit="1" customWidth="1"/>
    <col min="8703" max="8704" width="11.140625" style="1" bestFit="1" customWidth="1"/>
    <col min="8705" max="8705" width="11.5703125" style="1" bestFit="1" customWidth="1"/>
    <col min="8706" max="8706" width="9.140625" style="1" bestFit="1" customWidth="1"/>
    <col min="8707" max="8707" width="10.28515625" style="1" customWidth="1"/>
    <col min="8708" max="8946" width="9.140625" style="1"/>
    <col min="8947" max="8947" width="4.28515625" style="1" bestFit="1" customWidth="1"/>
    <col min="8948" max="8948" width="6.85546875" style="1" bestFit="1" customWidth="1"/>
    <col min="8949" max="8949" width="11" style="1" customWidth="1"/>
    <col min="8950" max="8950" width="11.140625" style="1" bestFit="1" customWidth="1"/>
    <col min="8951" max="8951" width="10.85546875" style="1" customWidth="1"/>
    <col min="8952" max="8952" width="11.5703125" style="1" customWidth="1"/>
    <col min="8953" max="8953" width="11.140625" style="1" bestFit="1" customWidth="1"/>
    <col min="8954" max="8954" width="11" style="1" customWidth="1"/>
    <col min="8955" max="8955" width="10.42578125" style="1" customWidth="1"/>
    <col min="8956" max="8956" width="11.28515625" style="1" customWidth="1"/>
    <col min="8957" max="8958" width="9.140625" style="1" bestFit="1" customWidth="1"/>
    <col min="8959" max="8960" width="11.140625" style="1" bestFit="1" customWidth="1"/>
    <col min="8961" max="8961" width="11.5703125" style="1" bestFit="1" customWidth="1"/>
    <col min="8962" max="8962" width="9.140625" style="1" bestFit="1" customWidth="1"/>
    <col min="8963" max="8963" width="10.28515625" style="1" customWidth="1"/>
    <col min="8964" max="9202" width="9.140625" style="1"/>
    <col min="9203" max="9203" width="4.28515625" style="1" bestFit="1" customWidth="1"/>
    <col min="9204" max="9204" width="6.85546875" style="1" bestFit="1" customWidth="1"/>
    <col min="9205" max="9205" width="11" style="1" customWidth="1"/>
    <col min="9206" max="9206" width="11.140625" style="1" bestFit="1" customWidth="1"/>
    <col min="9207" max="9207" width="10.85546875" style="1" customWidth="1"/>
    <col min="9208" max="9208" width="11.5703125" style="1" customWidth="1"/>
    <col min="9209" max="9209" width="11.140625" style="1" bestFit="1" customWidth="1"/>
    <col min="9210" max="9210" width="11" style="1" customWidth="1"/>
    <col min="9211" max="9211" width="10.42578125" style="1" customWidth="1"/>
    <col min="9212" max="9212" width="11.28515625" style="1" customWidth="1"/>
    <col min="9213" max="9214" width="9.140625" style="1" bestFit="1" customWidth="1"/>
    <col min="9215" max="9216" width="11.140625" style="1" bestFit="1" customWidth="1"/>
    <col min="9217" max="9217" width="11.5703125" style="1" bestFit="1" customWidth="1"/>
    <col min="9218" max="9218" width="9.140625" style="1" bestFit="1" customWidth="1"/>
    <col min="9219" max="9219" width="10.28515625" style="1" customWidth="1"/>
    <col min="9220" max="9458" width="9.140625" style="1"/>
    <col min="9459" max="9459" width="4.28515625" style="1" bestFit="1" customWidth="1"/>
    <col min="9460" max="9460" width="6.85546875" style="1" bestFit="1" customWidth="1"/>
    <col min="9461" max="9461" width="11" style="1" customWidth="1"/>
    <col min="9462" max="9462" width="11.140625" style="1" bestFit="1" customWidth="1"/>
    <col min="9463" max="9463" width="10.85546875" style="1" customWidth="1"/>
    <col min="9464" max="9464" width="11.5703125" style="1" customWidth="1"/>
    <col min="9465" max="9465" width="11.140625" style="1" bestFit="1" customWidth="1"/>
    <col min="9466" max="9466" width="11" style="1" customWidth="1"/>
    <col min="9467" max="9467" width="10.42578125" style="1" customWidth="1"/>
    <col min="9468" max="9468" width="11.28515625" style="1" customWidth="1"/>
    <col min="9469" max="9470" width="9.140625" style="1" bestFit="1" customWidth="1"/>
    <col min="9471" max="9472" width="11.140625" style="1" bestFit="1" customWidth="1"/>
    <col min="9473" max="9473" width="11.5703125" style="1" bestFit="1" customWidth="1"/>
    <col min="9474" max="9474" width="9.140625" style="1" bestFit="1" customWidth="1"/>
    <col min="9475" max="9475" width="10.28515625" style="1" customWidth="1"/>
    <col min="9476" max="9714" width="9.140625" style="1"/>
    <col min="9715" max="9715" width="4.28515625" style="1" bestFit="1" customWidth="1"/>
    <col min="9716" max="9716" width="6.85546875" style="1" bestFit="1" customWidth="1"/>
    <col min="9717" max="9717" width="11" style="1" customWidth="1"/>
    <col min="9718" max="9718" width="11.140625" style="1" bestFit="1" customWidth="1"/>
    <col min="9719" max="9719" width="10.85546875" style="1" customWidth="1"/>
    <col min="9720" max="9720" width="11.5703125" style="1" customWidth="1"/>
    <col min="9721" max="9721" width="11.140625" style="1" bestFit="1" customWidth="1"/>
    <col min="9722" max="9722" width="11" style="1" customWidth="1"/>
    <col min="9723" max="9723" width="10.42578125" style="1" customWidth="1"/>
    <col min="9724" max="9724" width="11.28515625" style="1" customWidth="1"/>
    <col min="9725" max="9726" width="9.140625" style="1" bestFit="1" customWidth="1"/>
    <col min="9727" max="9728" width="11.140625" style="1" bestFit="1" customWidth="1"/>
    <col min="9729" max="9729" width="11.5703125" style="1" bestFit="1" customWidth="1"/>
    <col min="9730" max="9730" width="9.140625" style="1" bestFit="1" customWidth="1"/>
    <col min="9731" max="9731" width="10.28515625" style="1" customWidth="1"/>
    <col min="9732" max="9970" width="9.140625" style="1"/>
    <col min="9971" max="9971" width="4.28515625" style="1" bestFit="1" customWidth="1"/>
    <col min="9972" max="9972" width="6.85546875" style="1" bestFit="1" customWidth="1"/>
    <col min="9973" max="9973" width="11" style="1" customWidth="1"/>
    <col min="9974" max="9974" width="11.140625" style="1" bestFit="1" customWidth="1"/>
    <col min="9975" max="9975" width="10.85546875" style="1" customWidth="1"/>
    <col min="9976" max="9976" width="11.5703125" style="1" customWidth="1"/>
    <col min="9977" max="9977" width="11.140625" style="1" bestFit="1" customWidth="1"/>
    <col min="9978" max="9978" width="11" style="1" customWidth="1"/>
    <col min="9979" max="9979" width="10.42578125" style="1" customWidth="1"/>
    <col min="9980" max="9980" width="11.28515625" style="1" customWidth="1"/>
    <col min="9981" max="9982" width="9.140625" style="1" bestFit="1" customWidth="1"/>
    <col min="9983" max="9984" width="11.140625" style="1" bestFit="1" customWidth="1"/>
    <col min="9985" max="9985" width="11.5703125" style="1" bestFit="1" customWidth="1"/>
    <col min="9986" max="9986" width="9.140625" style="1" bestFit="1" customWidth="1"/>
    <col min="9987" max="9987" width="10.28515625" style="1" customWidth="1"/>
    <col min="9988" max="10226" width="9.140625" style="1"/>
    <col min="10227" max="10227" width="4.28515625" style="1" bestFit="1" customWidth="1"/>
    <col min="10228" max="10228" width="6.85546875" style="1" bestFit="1" customWidth="1"/>
    <col min="10229" max="10229" width="11" style="1" customWidth="1"/>
    <col min="10230" max="10230" width="11.140625" style="1" bestFit="1" customWidth="1"/>
    <col min="10231" max="10231" width="10.85546875" style="1" customWidth="1"/>
    <col min="10232" max="10232" width="11.5703125" style="1" customWidth="1"/>
    <col min="10233" max="10233" width="11.140625" style="1" bestFit="1" customWidth="1"/>
    <col min="10234" max="10234" width="11" style="1" customWidth="1"/>
    <col min="10235" max="10235" width="10.42578125" style="1" customWidth="1"/>
    <col min="10236" max="10236" width="11.28515625" style="1" customWidth="1"/>
    <col min="10237" max="10238" width="9.140625" style="1" bestFit="1" customWidth="1"/>
    <col min="10239" max="10240" width="11.140625" style="1" bestFit="1" customWidth="1"/>
    <col min="10241" max="10241" width="11.5703125" style="1" bestFit="1" customWidth="1"/>
    <col min="10242" max="10242" width="9.140625" style="1" bestFit="1" customWidth="1"/>
    <col min="10243" max="10243" width="10.28515625" style="1" customWidth="1"/>
    <col min="10244" max="10482" width="9.140625" style="1"/>
    <col min="10483" max="10483" width="4.28515625" style="1" bestFit="1" customWidth="1"/>
    <col min="10484" max="10484" width="6.85546875" style="1" bestFit="1" customWidth="1"/>
    <col min="10485" max="10485" width="11" style="1" customWidth="1"/>
    <col min="10486" max="10486" width="11.140625" style="1" bestFit="1" customWidth="1"/>
    <col min="10487" max="10487" width="10.85546875" style="1" customWidth="1"/>
    <col min="10488" max="10488" width="11.5703125" style="1" customWidth="1"/>
    <col min="10489" max="10489" width="11.140625" style="1" bestFit="1" customWidth="1"/>
    <col min="10490" max="10490" width="11" style="1" customWidth="1"/>
    <col min="10491" max="10491" width="10.42578125" style="1" customWidth="1"/>
    <col min="10492" max="10492" width="11.28515625" style="1" customWidth="1"/>
    <col min="10493" max="10494" width="9.140625" style="1" bestFit="1" customWidth="1"/>
    <col min="10495" max="10496" width="11.140625" style="1" bestFit="1" customWidth="1"/>
    <col min="10497" max="10497" width="11.5703125" style="1" bestFit="1" customWidth="1"/>
    <col min="10498" max="10498" width="9.140625" style="1" bestFit="1" customWidth="1"/>
    <col min="10499" max="10499" width="10.28515625" style="1" customWidth="1"/>
    <col min="10500" max="10738" width="9.140625" style="1"/>
    <col min="10739" max="10739" width="4.28515625" style="1" bestFit="1" customWidth="1"/>
    <col min="10740" max="10740" width="6.85546875" style="1" bestFit="1" customWidth="1"/>
    <col min="10741" max="10741" width="11" style="1" customWidth="1"/>
    <col min="10742" max="10742" width="11.140625" style="1" bestFit="1" customWidth="1"/>
    <col min="10743" max="10743" width="10.85546875" style="1" customWidth="1"/>
    <col min="10744" max="10744" width="11.5703125" style="1" customWidth="1"/>
    <col min="10745" max="10745" width="11.140625" style="1" bestFit="1" customWidth="1"/>
    <col min="10746" max="10746" width="11" style="1" customWidth="1"/>
    <col min="10747" max="10747" width="10.42578125" style="1" customWidth="1"/>
    <col min="10748" max="10748" width="11.28515625" style="1" customWidth="1"/>
    <col min="10749" max="10750" width="9.140625" style="1" bestFit="1" customWidth="1"/>
    <col min="10751" max="10752" width="11.140625" style="1" bestFit="1" customWidth="1"/>
    <col min="10753" max="10753" width="11.5703125" style="1" bestFit="1" customWidth="1"/>
    <col min="10754" max="10754" width="9.140625" style="1" bestFit="1" customWidth="1"/>
    <col min="10755" max="10755" width="10.28515625" style="1" customWidth="1"/>
    <col min="10756" max="10994" width="9.140625" style="1"/>
    <col min="10995" max="10995" width="4.28515625" style="1" bestFit="1" customWidth="1"/>
    <col min="10996" max="10996" width="6.85546875" style="1" bestFit="1" customWidth="1"/>
    <col min="10997" max="10997" width="11" style="1" customWidth="1"/>
    <col min="10998" max="10998" width="11.140625" style="1" bestFit="1" customWidth="1"/>
    <col min="10999" max="10999" width="10.85546875" style="1" customWidth="1"/>
    <col min="11000" max="11000" width="11.5703125" style="1" customWidth="1"/>
    <col min="11001" max="11001" width="11.140625" style="1" bestFit="1" customWidth="1"/>
    <col min="11002" max="11002" width="11" style="1" customWidth="1"/>
    <col min="11003" max="11003" width="10.42578125" style="1" customWidth="1"/>
    <col min="11004" max="11004" width="11.28515625" style="1" customWidth="1"/>
    <col min="11005" max="11006" width="9.140625" style="1" bestFit="1" customWidth="1"/>
    <col min="11007" max="11008" width="11.140625" style="1" bestFit="1" customWidth="1"/>
    <col min="11009" max="11009" width="11.5703125" style="1" bestFit="1" customWidth="1"/>
    <col min="11010" max="11010" width="9.140625" style="1" bestFit="1" customWidth="1"/>
    <col min="11011" max="11011" width="10.28515625" style="1" customWidth="1"/>
    <col min="11012" max="11250" width="9.140625" style="1"/>
    <col min="11251" max="11251" width="4.28515625" style="1" bestFit="1" customWidth="1"/>
    <col min="11252" max="11252" width="6.85546875" style="1" bestFit="1" customWidth="1"/>
    <col min="11253" max="11253" width="11" style="1" customWidth="1"/>
    <col min="11254" max="11254" width="11.140625" style="1" bestFit="1" customWidth="1"/>
    <col min="11255" max="11255" width="10.85546875" style="1" customWidth="1"/>
    <col min="11256" max="11256" width="11.5703125" style="1" customWidth="1"/>
    <col min="11257" max="11257" width="11.140625" style="1" bestFit="1" customWidth="1"/>
    <col min="11258" max="11258" width="11" style="1" customWidth="1"/>
    <col min="11259" max="11259" width="10.42578125" style="1" customWidth="1"/>
    <col min="11260" max="11260" width="11.28515625" style="1" customWidth="1"/>
    <col min="11261" max="11262" width="9.140625" style="1" bestFit="1" customWidth="1"/>
    <col min="11263" max="11264" width="11.140625" style="1" bestFit="1" customWidth="1"/>
    <col min="11265" max="11265" width="11.5703125" style="1" bestFit="1" customWidth="1"/>
    <col min="11266" max="11266" width="9.140625" style="1" bestFit="1" customWidth="1"/>
    <col min="11267" max="11267" width="10.28515625" style="1" customWidth="1"/>
    <col min="11268" max="11506" width="9.140625" style="1"/>
    <col min="11507" max="11507" width="4.28515625" style="1" bestFit="1" customWidth="1"/>
    <col min="11508" max="11508" width="6.85546875" style="1" bestFit="1" customWidth="1"/>
    <col min="11509" max="11509" width="11" style="1" customWidth="1"/>
    <col min="11510" max="11510" width="11.140625" style="1" bestFit="1" customWidth="1"/>
    <col min="11511" max="11511" width="10.85546875" style="1" customWidth="1"/>
    <col min="11512" max="11512" width="11.5703125" style="1" customWidth="1"/>
    <col min="11513" max="11513" width="11.140625" style="1" bestFit="1" customWidth="1"/>
    <col min="11514" max="11514" width="11" style="1" customWidth="1"/>
    <col min="11515" max="11515" width="10.42578125" style="1" customWidth="1"/>
    <col min="11516" max="11516" width="11.28515625" style="1" customWidth="1"/>
    <col min="11517" max="11518" width="9.140625" style="1" bestFit="1" customWidth="1"/>
    <col min="11519" max="11520" width="11.140625" style="1" bestFit="1" customWidth="1"/>
    <col min="11521" max="11521" width="11.5703125" style="1" bestFit="1" customWidth="1"/>
    <col min="11522" max="11522" width="9.140625" style="1" bestFit="1" customWidth="1"/>
    <col min="11523" max="11523" width="10.28515625" style="1" customWidth="1"/>
    <col min="11524" max="11762" width="9.140625" style="1"/>
    <col min="11763" max="11763" width="4.28515625" style="1" bestFit="1" customWidth="1"/>
    <col min="11764" max="11764" width="6.85546875" style="1" bestFit="1" customWidth="1"/>
    <col min="11765" max="11765" width="11" style="1" customWidth="1"/>
    <col min="11766" max="11766" width="11.140625" style="1" bestFit="1" customWidth="1"/>
    <col min="11767" max="11767" width="10.85546875" style="1" customWidth="1"/>
    <col min="11768" max="11768" width="11.5703125" style="1" customWidth="1"/>
    <col min="11769" max="11769" width="11.140625" style="1" bestFit="1" customWidth="1"/>
    <col min="11770" max="11770" width="11" style="1" customWidth="1"/>
    <col min="11771" max="11771" width="10.42578125" style="1" customWidth="1"/>
    <col min="11772" max="11772" width="11.28515625" style="1" customWidth="1"/>
    <col min="11773" max="11774" width="9.140625" style="1" bestFit="1" customWidth="1"/>
    <col min="11775" max="11776" width="11.140625" style="1" bestFit="1" customWidth="1"/>
    <col min="11777" max="11777" width="11.5703125" style="1" bestFit="1" customWidth="1"/>
    <col min="11778" max="11778" width="9.140625" style="1" bestFit="1" customWidth="1"/>
    <col min="11779" max="11779" width="10.28515625" style="1" customWidth="1"/>
    <col min="11780" max="12018" width="9.140625" style="1"/>
    <col min="12019" max="12019" width="4.28515625" style="1" bestFit="1" customWidth="1"/>
    <col min="12020" max="12020" width="6.85546875" style="1" bestFit="1" customWidth="1"/>
    <col min="12021" max="12021" width="11" style="1" customWidth="1"/>
    <col min="12022" max="12022" width="11.140625" style="1" bestFit="1" customWidth="1"/>
    <col min="12023" max="12023" width="10.85546875" style="1" customWidth="1"/>
    <col min="12024" max="12024" width="11.5703125" style="1" customWidth="1"/>
    <col min="12025" max="12025" width="11.140625" style="1" bestFit="1" customWidth="1"/>
    <col min="12026" max="12026" width="11" style="1" customWidth="1"/>
    <col min="12027" max="12027" width="10.42578125" style="1" customWidth="1"/>
    <col min="12028" max="12028" width="11.28515625" style="1" customWidth="1"/>
    <col min="12029" max="12030" width="9.140625" style="1" bestFit="1" customWidth="1"/>
    <col min="12031" max="12032" width="11.140625" style="1" bestFit="1" customWidth="1"/>
    <col min="12033" max="12033" width="11.5703125" style="1" bestFit="1" customWidth="1"/>
    <col min="12034" max="12034" width="9.140625" style="1" bestFit="1" customWidth="1"/>
    <col min="12035" max="12035" width="10.28515625" style="1" customWidth="1"/>
    <col min="12036" max="12274" width="9.140625" style="1"/>
    <col min="12275" max="12275" width="4.28515625" style="1" bestFit="1" customWidth="1"/>
    <col min="12276" max="12276" width="6.85546875" style="1" bestFit="1" customWidth="1"/>
    <col min="12277" max="12277" width="11" style="1" customWidth="1"/>
    <col min="12278" max="12278" width="11.140625" style="1" bestFit="1" customWidth="1"/>
    <col min="12279" max="12279" width="10.85546875" style="1" customWidth="1"/>
    <col min="12280" max="12280" width="11.5703125" style="1" customWidth="1"/>
    <col min="12281" max="12281" width="11.140625" style="1" bestFit="1" customWidth="1"/>
    <col min="12282" max="12282" width="11" style="1" customWidth="1"/>
    <col min="12283" max="12283" width="10.42578125" style="1" customWidth="1"/>
    <col min="12284" max="12284" width="11.28515625" style="1" customWidth="1"/>
    <col min="12285" max="12286" width="9.140625" style="1" bestFit="1" customWidth="1"/>
    <col min="12287" max="12288" width="11.140625" style="1" bestFit="1" customWidth="1"/>
    <col min="12289" max="12289" width="11.5703125" style="1" bestFit="1" customWidth="1"/>
    <col min="12290" max="12290" width="9.140625" style="1" bestFit="1" customWidth="1"/>
    <col min="12291" max="12291" width="10.28515625" style="1" customWidth="1"/>
    <col min="12292" max="12530" width="9.140625" style="1"/>
    <col min="12531" max="12531" width="4.28515625" style="1" bestFit="1" customWidth="1"/>
    <col min="12532" max="12532" width="6.85546875" style="1" bestFit="1" customWidth="1"/>
    <col min="12533" max="12533" width="11" style="1" customWidth="1"/>
    <col min="12534" max="12534" width="11.140625" style="1" bestFit="1" customWidth="1"/>
    <col min="12535" max="12535" width="10.85546875" style="1" customWidth="1"/>
    <col min="12536" max="12536" width="11.5703125" style="1" customWidth="1"/>
    <col min="12537" max="12537" width="11.140625" style="1" bestFit="1" customWidth="1"/>
    <col min="12538" max="12538" width="11" style="1" customWidth="1"/>
    <col min="12539" max="12539" width="10.42578125" style="1" customWidth="1"/>
    <col min="12540" max="12540" width="11.28515625" style="1" customWidth="1"/>
    <col min="12541" max="12542" width="9.140625" style="1" bestFit="1" customWidth="1"/>
    <col min="12543" max="12544" width="11.140625" style="1" bestFit="1" customWidth="1"/>
    <col min="12545" max="12545" width="11.5703125" style="1" bestFit="1" customWidth="1"/>
    <col min="12546" max="12546" width="9.140625" style="1" bestFit="1" customWidth="1"/>
    <col min="12547" max="12547" width="10.28515625" style="1" customWidth="1"/>
    <col min="12548" max="12786" width="9.140625" style="1"/>
    <col min="12787" max="12787" width="4.28515625" style="1" bestFit="1" customWidth="1"/>
    <col min="12788" max="12788" width="6.85546875" style="1" bestFit="1" customWidth="1"/>
    <col min="12789" max="12789" width="11" style="1" customWidth="1"/>
    <col min="12790" max="12790" width="11.140625" style="1" bestFit="1" customWidth="1"/>
    <col min="12791" max="12791" width="10.85546875" style="1" customWidth="1"/>
    <col min="12792" max="12792" width="11.5703125" style="1" customWidth="1"/>
    <col min="12793" max="12793" width="11.140625" style="1" bestFit="1" customWidth="1"/>
    <col min="12794" max="12794" width="11" style="1" customWidth="1"/>
    <col min="12795" max="12795" width="10.42578125" style="1" customWidth="1"/>
    <col min="12796" max="12796" width="11.28515625" style="1" customWidth="1"/>
    <col min="12797" max="12798" width="9.140625" style="1" bestFit="1" customWidth="1"/>
    <col min="12799" max="12800" width="11.140625" style="1" bestFit="1" customWidth="1"/>
    <col min="12801" max="12801" width="11.5703125" style="1" bestFit="1" customWidth="1"/>
    <col min="12802" max="12802" width="9.140625" style="1" bestFit="1" customWidth="1"/>
    <col min="12803" max="12803" width="10.28515625" style="1" customWidth="1"/>
    <col min="12804" max="13042" width="9.140625" style="1"/>
    <col min="13043" max="13043" width="4.28515625" style="1" bestFit="1" customWidth="1"/>
    <col min="13044" max="13044" width="6.85546875" style="1" bestFit="1" customWidth="1"/>
    <col min="13045" max="13045" width="11" style="1" customWidth="1"/>
    <col min="13046" max="13046" width="11.140625" style="1" bestFit="1" customWidth="1"/>
    <col min="13047" max="13047" width="10.85546875" style="1" customWidth="1"/>
    <col min="13048" max="13048" width="11.5703125" style="1" customWidth="1"/>
    <col min="13049" max="13049" width="11.140625" style="1" bestFit="1" customWidth="1"/>
    <col min="13050" max="13050" width="11" style="1" customWidth="1"/>
    <col min="13051" max="13051" width="10.42578125" style="1" customWidth="1"/>
    <col min="13052" max="13052" width="11.28515625" style="1" customWidth="1"/>
    <col min="13053" max="13054" width="9.140625" style="1" bestFit="1" customWidth="1"/>
    <col min="13055" max="13056" width="11.140625" style="1" bestFit="1" customWidth="1"/>
    <col min="13057" max="13057" width="11.5703125" style="1" bestFit="1" customWidth="1"/>
    <col min="13058" max="13058" width="9.140625" style="1" bestFit="1" customWidth="1"/>
    <col min="13059" max="13059" width="10.28515625" style="1" customWidth="1"/>
    <col min="13060" max="13298" width="9.140625" style="1"/>
    <col min="13299" max="13299" width="4.28515625" style="1" bestFit="1" customWidth="1"/>
    <col min="13300" max="13300" width="6.85546875" style="1" bestFit="1" customWidth="1"/>
    <col min="13301" max="13301" width="11" style="1" customWidth="1"/>
    <col min="13302" max="13302" width="11.140625" style="1" bestFit="1" customWidth="1"/>
    <col min="13303" max="13303" width="10.85546875" style="1" customWidth="1"/>
    <col min="13304" max="13304" width="11.5703125" style="1" customWidth="1"/>
    <col min="13305" max="13305" width="11.140625" style="1" bestFit="1" customWidth="1"/>
    <col min="13306" max="13306" width="11" style="1" customWidth="1"/>
    <col min="13307" max="13307" width="10.42578125" style="1" customWidth="1"/>
    <col min="13308" max="13308" width="11.28515625" style="1" customWidth="1"/>
    <col min="13309" max="13310" width="9.140625" style="1" bestFit="1" customWidth="1"/>
    <col min="13311" max="13312" width="11.140625" style="1" bestFit="1" customWidth="1"/>
    <col min="13313" max="13313" width="11.5703125" style="1" bestFit="1" customWidth="1"/>
    <col min="13314" max="13314" width="9.140625" style="1" bestFit="1" customWidth="1"/>
    <col min="13315" max="13315" width="10.28515625" style="1" customWidth="1"/>
    <col min="13316" max="13554" width="9.140625" style="1"/>
    <col min="13555" max="13555" width="4.28515625" style="1" bestFit="1" customWidth="1"/>
    <col min="13556" max="13556" width="6.85546875" style="1" bestFit="1" customWidth="1"/>
    <col min="13557" max="13557" width="11" style="1" customWidth="1"/>
    <col min="13558" max="13558" width="11.140625" style="1" bestFit="1" customWidth="1"/>
    <col min="13559" max="13559" width="10.85546875" style="1" customWidth="1"/>
    <col min="13560" max="13560" width="11.5703125" style="1" customWidth="1"/>
    <col min="13561" max="13561" width="11.140625" style="1" bestFit="1" customWidth="1"/>
    <col min="13562" max="13562" width="11" style="1" customWidth="1"/>
    <col min="13563" max="13563" width="10.42578125" style="1" customWidth="1"/>
    <col min="13564" max="13564" width="11.28515625" style="1" customWidth="1"/>
    <col min="13565" max="13566" width="9.140625" style="1" bestFit="1" customWidth="1"/>
    <col min="13567" max="13568" width="11.140625" style="1" bestFit="1" customWidth="1"/>
    <col min="13569" max="13569" width="11.5703125" style="1" bestFit="1" customWidth="1"/>
    <col min="13570" max="13570" width="9.140625" style="1" bestFit="1" customWidth="1"/>
    <col min="13571" max="13571" width="10.28515625" style="1" customWidth="1"/>
    <col min="13572" max="13810" width="9.140625" style="1"/>
    <col min="13811" max="13811" width="4.28515625" style="1" bestFit="1" customWidth="1"/>
    <col min="13812" max="13812" width="6.85546875" style="1" bestFit="1" customWidth="1"/>
    <col min="13813" max="13813" width="11" style="1" customWidth="1"/>
    <col min="13814" max="13814" width="11.140625" style="1" bestFit="1" customWidth="1"/>
    <col min="13815" max="13815" width="10.85546875" style="1" customWidth="1"/>
    <col min="13816" max="13816" width="11.5703125" style="1" customWidth="1"/>
    <col min="13817" max="13817" width="11.140625" style="1" bestFit="1" customWidth="1"/>
    <col min="13818" max="13818" width="11" style="1" customWidth="1"/>
    <col min="13819" max="13819" width="10.42578125" style="1" customWidth="1"/>
    <col min="13820" max="13820" width="11.28515625" style="1" customWidth="1"/>
    <col min="13821" max="13822" width="9.140625" style="1" bestFit="1" customWidth="1"/>
    <col min="13823" max="13824" width="11.140625" style="1" bestFit="1" customWidth="1"/>
    <col min="13825" max="13825" width="11.5703125" style="1" bestFit="1" customWidth="1"/>
    <col min="13826" max="13826" width="9.140625" style="1" bestFit="1" customWidth="1"/>
    <col min="13827" max="13827" width="10.28515625" style="1" customWidth="1"/>
    <col min="13828" max="14066" width="9.140625" style="1"/>
    <col min="14067" max="14067" width="4.28515625" style="1" bestFit="1" customWidth="1"/>
    <col min="14068" max="14068" width="6.85546875" style="1" bestFit="1" customWidth="1"/>
    <col min="14069" max="14069" width="11" style="1" customWidth="1"/>
    <col min="14070" max="14070" width="11.140625" style="1" bestFit="1" customWidth="1"/>
    <col min="14071" max="14071" width="10.85546875" style="1" customWidth="1"/>
    <col min="14072" max="14072" width="11.5703125" style="1" customWidth="1"/>
    <col min="14073" max="14073" width="11.140625" style="1" bestFit="1" customWidth="1"/>
    <col min="14074" max="14074" width="11" style="1" customWidth="1"/>
    <col min="14075" max="14075" width="10.42578125" style="1" customWidth="1"/>
    <col min="14076" max="14076" width="11.28515625" style="1" customWidth="1"/>
    <col min="14077" max="14078" width="9.140625" style="1" bestFit="1" customWidth="1"/>
    <col min="14079" max="14080" width="11.140625" style="1" bestFit="1" customWidth="1"/>
    <col min="14081" max="14081" width="11.5703125" style="1" bestFit="1" customWidth="1"/>
    <col min="14082" max="14082" width="9.140625" style="1" bestFit="1" customWidth="1"/>
    <col min="14083" max="14083" width="10.28515625" style="1" customWidth="1"/>
    <col min="14084" max="14322" width="9.140625" style="1"/>
    <col min="14323" max="14323" width="4.28515625" style="1" bestFit="1" customWidth="1"/>
    <col min="14324" max="14324" width="6.85546875" style="1" bestFit="1" customWidth="1"/>
    <col min="14325" max="14325" width="11" style="1" customWidth="1"/>
    <col min="14326" max="14326" width="11.140625" style="1" bestFit="1" customWidth="1"/>
    <col min="14327" max="14327" width="10.85546875" style="1" customWidth="1"/>
    <col min="14328" max="14328" width="11.5703125" style="1" customWidth="1"/>
    <col min="14329" max="14329" width="11.140625" style="1" bestFit="1" customWidth="1"/>
    <col min="14330" max="14330" width="11" style="1" customWidth="1"/>
    <col min="14331" max="14331" width="10.42578125" style="1" customWidth="1"/>
    <col min="14332" max="14332" width="11.28515625" style="1" customWidth="1"/>
    <col min="14333" max="14334" width="9.140625" style="1" bestFit="1" customWidth="1"/>
    <col min="14335" max="14336" width="11.140625" style="1" bestFit="1" customWidth="1"/>
    <col min="14337" max="14337" width="11.5703125" style="1" bestFit="1" customWidth="1"/>
    <col min="14338" max="14338" width="9.140625" style="1" bestFit="1" customWidth="1"/>
    <col min="14339" max="14339" width="10.28515625" style="1" customWidth="1"/>
    <col min="14340" max="14578" width="9.140625" style="1"/>
    <col min="14579" max="14579" width="4.28515625" style="1" bestFit="1" customWidth="1"/>
    <col min="14580" max="14580" width="6.85546875" style="1" bestFit="1" customWidth="1"/>
    <col min="14581" max="14581" width="11" style="1" customWidth="1"/>
    <col min="14582" max="14582" width="11.140625" style="1" bestFit="1" customWidth="1"/>
    <col min="14583" max="14583" width="10.85546875" style="1" customWidth="1"/>
    <col min="14584" max="14584" width="11.5703125" style="1" customWidth="1"/>
    <col min="14585" max="14585" width="11.140625" style="1" bestFit="1" customWidth="1"/>
    <col min="14586" max="14586" width="11" style="1" customWidth="1"/>
    <col min="14587" max="14587" width="10.42578125" style="1" customWidth="1"/>
    <col min="14588" max="14588" width="11.28515625" style="1" customWidth="1"/>
    <col min="14589" max="14590" width="9.140625" style="1" bestFit="1" customWidth="1"/>
    <col min="14591" max="14592" width="11.140625" style="1" bestFit="1" customWidth="1"/>
    <col min="14593" max="14593" width="11.5703125" style="1" bestFit="1" customWidth="1"/>
    <col min="14594" max="14594" width="9.140625" style="1" bestFit="1" customWidth="1"/>
    <col min="14595" max="14595" width="10.28515625" style="1" customWidth="1"/>
    <col min="14596" max="14834" width="9.140625" style="1"/>
    <col min="14835" max="14835" width="4.28515625" style="1" bestFit="1" customWidth="1"/>
    <col min="14836" max="14836" width="6.85546875" style="1" bestFit="1" customWidth="1"/>
    <col min="14837" max="14837" width="11" style="1" customWidth="1"/>
    <col min="14838" max="14838" width="11.140625" style="1" bestFit="1" customWidth="1"/>
    <col min="14839" max="14839" width="10.85546875" style="1" customWidth="1"/>
    <col min="14840" max="14840" width="11.5703125" style="1" customWidth="1"/>
    <col min="14841" max="14841" width="11.140625" style="1" bestFit="1" customWidth="1"/>
    <col min="14842" max="14842" width="11" style="1" customWidth="1"/>
    <col min="14843" max="14843" width="10.42578125" style="1" customWidth="1"/>
    <col min="14844" max="14844" width="11.28515625" style="1" customWidth="1"/>
    <col min="14845" max="14846" width="9.140625" style="1" bestFit="1" customWidth="1"/>
    <col min="14847" max="14848" width="11.140625" style="1" bestFit="1" customWidth="1"/>
    <col min="14849" max="14849" width="11.5703125" style="1" bestFit="1" customWidth="1"/>
    <col min="14850" max="14850" width="9.140625" style="1" bestFit="1" customWidth="1"/>
    <col min="14851" max="14851" width="10.28515625" style="1" customWidth="1"/>
    <col min="14852" max="15090" width="9.140625" style="1"/>
    <col min="15091" max="15091" width="4.28515625" style="1" bestFit="1" customWidth="1"/>
    <col min="15092" max="15092" width="6.85546875" style="1" bestFit="1" customWidth="1"/>
    <col min="15093" max="15093" width="11" style="1" customWidth="1"/>
    <col min="15094" max="15094" width="11.140625" style="1" bestFit="1" customWidth="1"/>
    <col min="15095" max="15095" width="10.85546875" style="1" customWidth="1"/>
    <col min="15096" max="15096" width="11.5703125" style="1" customWidth="1"/>
    <col min="15097" max="15097" width="11.140625" style="1" bestFit="1" customWidth="1"/>
    <col min="15098" max="15098" width="11" style="1" customWidth="1"/>
    <col min="15099" max="15099" width="10.42578125" style="1" customWidth="1"/>
    <col min="15100" max="15100" width="11.28515625" style="1" customWidth="1"/>
    <col min="15101" max="15102" width="9.140625" style="1" bestFit="1" customWidth="1"/>
    <col min="15103" max="15104" width="11.140625" style="1" bestFit="1" customWidth="1"/>
    <col min="15105" max="15105" width="11.5703125" style="1" bestFit="1" customWidth="1"/>
    <col min="15106" max="15106" width="9.140625" style="1" bestFit="1" customWidth="1"/>
    <col min="15107" max="15107" width="10.28515625" style="1" customWidth="1"/>
    <col min="15108" max="15346" width="9.140625" style="1"/>
    <col min="15347" max="15347" width="4.28515625" style="1" bestFit="1" customWidth="1"/>
    <col min="15348" max="15348" width="6.85546875" style="1" bestFit="1" customWidth="1"/>
    <col min="15349" max="15349" width="11" style="1" customWidth="1"/>
    <col min="15350" max="15350" width="11.140625" style="1" bestFit="1" customWidth="1"/>
    <col min="15351" max="15351" width="10.85546875" style="1" customWidth="1"/>
    <col min="15352" max="15352" width="11.5703125" style="1" customWidth="1"/>
    <col min="15353" max="15353" width="11.140625" style="1" bestFit="1" customWidth="1"/>
    <col min="15354" max="15354" width="11" style="1" customWidth="1"/>
    <col min="15355" max="15355" width="10.42578125" style="1" customWidth="1"/>
    <col min="15356" max="15356" width="11.28515625" style="1" customWidth="1"/>
    <col min="15357" max="15358" width="9.140625" style="1" bestFit="1" customWidth="1"/>
    <col min="15359" max="15360" width="11.140625" style="1" bestFit="1" customWidth="1"/>
    <col min="15361" max="15361" width="11.5703125" style="1" bestFit="1" customWidth="1"/>
    <col min="15362" max="15362" width="9.140625" style="1" bestFit="1" customWidth="1"/>
    <col min="15363" max="15363" width="10.28515625" style="1" customWidth="1"/>
    <col min="15364" max="15602" width="9.140625" style="1"/>
    <col min="15603" max="15603" width="4.28515625" style="1" bestFit="1" customWidth="1"/>
    <col min="15604" max="15604" width="6.85546875" style="1" bestFit="1" customWidth="1"/>
    <col min="15605" max="15605" width="11" style="1" customWidth="1"/>
    <col min="15606" max="15606" width="11.140625" style="1" bestFit="1" customWidth="1"/>
    <col min="15607" max="15607" width="10.85546875" style="1" customWidth="1"/>
    <col min="15608" max="15608" width="11.5703125" style="1" customWidth="1"/>
    <col min="15609" max="15609" width="11.140625" style="1" bestFit="1" customWidth="1"/>
    <col min="15610" max="15610" width="11" style="1" customWidth="1"/>
    <col min="15611" max="15611" width="10.42578125" style="1" customWidth="1"/>
    <col min="15612" max="15612" width="11.28515625" style="1" customWidth="1"/>
    <col min="15613" max="15614" width="9.140625" style="1" bestFit="1" customWidth="1"/>
    <col min="15615" max="15616" width="11.140625" style="1" bestFit="1" customWidth="1"/>
    <col min="15617" max="15617" width="11.5703125" style="1" bestFit="1" customWidth="1"/>
    <col min="15618" max="15618" width="9.140625" style="1" bestFit="1" customWidth="1"/>
    <col min="15619" max="15619" width="10.28515625" style="1" customWidth="1"/>
    <col min="15620" max="15858" width="9.140625" style="1"/>
    <col min="15859" max="15859" width="4.28515625" style="1" bestFit="1" customWidth="1"/>
    <col min="15860" max="15860" width="6.85546875" style="1" bestFit="1" customWidth="1"/>
    <col min="15861" max="15861" width="11" style="1" customWidth="1"/>
    <col min="15862" max="15862" width="11.140625" style="1" bestFit="1" customWidth="1"/>
    <col min="15863" max="15863" width="10.85546875" style="1" customWidth="1"/>
    <col min="15864" max="15864" width="11.5703125" style="1" customWidth="1"/>
    <col min="15865" max="15865" width="11.140625" style="1" bestFit="1" customWidth="1"/>
    <col min="15866" max="15866" width="11" style="1" customWidth="1"/>
    <col min="15867" max="15867" width="10.42578125" style="1" customWidth="1"/>
    <col min="15868" max="15868" width="11.28515625" style="1" customWidth="1"/>
    <col min="15869" max="15870" width="9.140625" style="1" bestFit="1" customWidth="1"/>
    <col min="15871" max="15872" width="11.140625" style="1" bestFit="1" customWidth="1"/>
    <col min="15873" max="15873" width="11.5703125" style="1" bestFit="1" customWidth="1"/>
    <col min="15874" max="15874" width="9.140625" style="1" bestFit="1" customWidth="1"/>
    <col min="15875" max="15875" width="10.28515625" style="1" customWidth="1"/>
    <col min="15876" max="16114" width="9.140625" style="1"/>
    <col min="16115" max="16115" width="4.28515625" style="1" bestFit="1" customWidth="1"/>
    <col min="16116" max="16116" width="6.85546875" style="1" bestFit="1" customWidth="1"/>
    <col min="16117" max="16117" width="11" style="1" customWidth="1"/>
    <col min="16118" max="16118" width="11.140625" style="1" bestFit="1" customWidth="1"/>
    <col min="16119" max="16119" width="10.85546875" style="1" customWidth="1"/>
    <col min="16120" max="16120" width="11.5703125" style="1" customWidth="1"/>
    <col min="16121" max="16121" width="11.140625" style="1" bestFit="1" customWidth="1"/>
    <col min="16122" max="16122" width="11" style="1" customWidth="1"/>
    <col min="16123" max="16123" width="10.42578125" style="1" customWidth="1"/>
    <col min="16124" max="16124" width="11.28515625" style="1" customWidth="1"/>
    <col min="16125" max="16126" width="9.140625" style="1" bestFit="1" customWidth="1"/>
    <col min="16127" max="16128" width="11.140625" style="1" bestFit="1" customWidth="1"/>
    <col min="16129" max="16129" width="11.5703125" style="1" bestFit="1" customWidth="1"/>
    <col min="16130" max="16130" width="9.140625" style="1" bestFit="1" customWidth="1"/>
    <col min="16131" max="16131" width="10.28515625" style="1" customWidth="1"/>
    <col min="16132" max="16384" width="9.140625" style="1"/>
  </cols>
  <sheetData>
    <row r="1" spans="1:12" ht="45" customHeight="1">
      <c r="A1" s="2319"/>
      <c r="B1" s="2319"/>
      <c r="C1" s="2319"/>
      <c r="D1" s="2319"/>
      <c r="E1" s="2319"/>
      <c r="F1" s="2319"/>
      <c r="G1" s="2319"/>
      <c r="H1" s="3157" t="s">
        <v>1276</v>
      </c>
      <c r="I1" s="3157"/>
      <c r="J1" s="3157"/>
    </row>
    <row r="2" spans="1:12" ht="65.25" customHeight="1">
      <c r="A2" s="3158" t="s">
        <v>1116</v>
      </c>
      <c r="B2" s="3158"/>
      <c r="C2" s="3158"/>
      <c r="D2" s="3158"/>
      <c r="E2" s="3158"/>
      <c r="F2" s="3158"/>
      <c r="G2" s="3158"/>
      <c r="H2" s="3158"/>
      <c r="I2" s="3158"/>
      <c r="J2" s="3158"/>
    </row>
    <row r="3" spans="1:12" ht="15.75">
      <c r="A3" s="2318"/>
      <c r="B3" s="2318"/>
      <c r="C3" s="2318"/>
      <c r="D3" s="2318"/>
      <c r="E3" s="2318"/>
      <c r="F3" s="2318"/>
      <c r="G3" s="2318"/>
      <c r="H3" s="2318"/>
      <c r="I3" s="2318"/>
      <c r="J3" s="2318"/>
    </row>
    <row r="4" spans="1:12" ht="14.25" customHeight="1" thickBot="1">
      <c r="A4" s="3159" t="s">
        <v>21</v>
      </c>
      <c r="B4" s="3159"/>
      <c r="C4" s="3159"/>
      <c r="D4" s="3159"/>
      <c r="E4" s="3159"/>
      <c r="F4" s="3159"/>
      <c r="G4" s="3159"/>
      <c r="H4" s="3159"/>
      <c r="I4" s="3159"/>
      <c r="J4" s="3159"/>
    </row>
    <row r="5" spans="1:12" ht="17.25" customHeight="1">
      <c r="A5" s="3160" t="s">
        <v>15</v>
      </c>
      <c r="B5" s="3162" t="s">
        <v>1117</v>
      </c>
      <c r="C5" s="3164" t="s">
        <v>0</v>
      </c>
      <c r="D5" s="3165" t="s">
        <v>1</v>
      </c>
      <c r="E5" s="3167" t="s">
        <v>5</v>
      </c>
      <c r="F5" s="3168" t="s">
        <v>1118</v>
      </c>
      <c r="G5" s="3170" t="s">
        <v>2</v>
      </c>
      <c r="H5" s="3170"/>
      <c r="I5" s="3170"/>
      <c r="J5" s="3171"/>
      <c r="K5" s="1"/>
    </row>
    <row r="6" spans="1:12" ht="31.5" customHeight="1">
      <c r="A6" s="3161"/>
      <c r="B6" s="3163"/>
      <c r="C6" s="3163"/>
      <c r="D6" s="3166"/>
      <c r="E6" s="3166"/>
      <c r="F6" s="3169"/>
      <c r="G6" s="2320" t="s">
        <v>1119</v>
      </c>
      <c r="H6" s="2320" t="s">
        <v>1120</v>
      </c>
      <c r="I6" s="2320" t="s">
        <v>1121</v>
      </c>
      <c r="J6" s="2321" t="s">
        <v>1122</v>
      </c>
      <c r="K6" s="1"/>
    </row>
    <row r="7" spans="1:12" ht="14.25" customHeight="1">
      <c r="A7" s="2322" t="s">
        <v>210</v>
      </c>
      <c r="B7" s="2323" t="s">
        <v>211</v>
      </c>
      <c r="C7" s="2323" t="s">
        <v>212</v>
      </c>
      <c r="D7" s="2323" t="s">
        <v>213</v>
      </c>
      <c r="E7" s="2323" t="s">
        <v>214</v>
      </c>
      <c r="F7" s="2324" t="s">
        <v>1123</v>
      </c>
      <c r="G7" s="2324" t="s">
        <v>215</v>
      </c>
      <c r="H7" s="2324" t="s">
        <v>955</v>
      </c>
      <c r="I7" s="2324" t="s">
        <v>956</v>
      </c>
      <c r="J7" s="2325" t="s">
        <v>1124</v>
      </c>
      <c r="K7" s="1"/>
    </row>
    <row r="8" spans="1:12" s="100" customFormat="1" ht="30" customHeight="1">
      <c r="A8" s="2326" t="s">
        <v>1125</v>
      </c>
      <c r="B8" s="3126" t="s">
        <v>1126</v>
      </c>
      <c r="C8" s="3126"/>
      <c r="D8" s="3126"/>
      <c r="E8" s="3126"/>
      <c r="F8" s="2327">
        <f>F10+F22+F31+F50+F63+F79+F118+F130+F143+F162+F174+F192+F206+F271+F294+F317+F328+F340+F381+F415+F429+F446+F471+F494+F517+F540+F560+F581+F604+F642+F664+F695+F721</f>
        <v>368155623</v>
      </c>
      <c r="G8" s="2327">
        <f t="shared" ref="G8:J8" si="0">G10+G22+G31+G50+G63+G79+G118+G130+G143+G162+G174+G192+G206+G271+G294+G317+G328+G340+G381+G415+G429+G446+G471+G494+G517+G540+G560+G581+G604+G642+G664+G695+G721</f>
        <v>140875864</v>
      </c>
      <c r="H8" s="2327">
        <f t="shared" si="0"/>
        <v>154090457</v>
      </c>
      <c r="I8" s="2327">
        <f t="shared" si="0"/>
        <v>73189302</v>
      </c>
      <c r="J8" s="2328">
        <f t="shared" si="0"/>
        <v>0</v>
      </c>
    </row>
    <row r="9" spans="1:12" s="2329" customFormat="1" ht="15" customHeight="1">
      <c r="A9" s="3127"/>
      <c r="B9" s="3128"/>
      <c r="C9" s="3128"/>
      <c r="D9" s="3128"/>
      <c r="E9" s="3128"/>
      <c r="F9" s="3128"/>
      <c r="G9" s="3128"/>
      <c r="H9" s="3128"/>
      <c r="I9" s="3128"/>
      <c r="J9" s="3129"/>
      <c r="K9" s="1"/>
    </row>
    <row r="10" spans="1:12" s="2333" customFormat="1" ht="22.5">
      <c r="A10" s="3115" t="s">
        <v>1127</v>
      </c>
      <c r="B10" s="3116" t="s">
        <v>1128</v>
      </c>
      <c r="C10" s="3117"/>
      <c r="D10" s="3117"/>
      <c r="E10" s="2330" t="s">
        <v>1129</v>
      </c>
      <c r="F10" s="2331">
        <f>SUM(F11,F15)</f>
        <v>21300212</v>
      </c>
      <c r="G10" s="2331">
        <f>SUM(G11,G15)</f>
        <v>0</v>
      </c>
      <c r="H10" s="2331">
        <f>SUM(H11,H15)</f>
        <v>0</v>
      </c>
      <c r="I10" s="2331">
        <f>SUM(I11,I15)</f>
        <v>21300212</v>
      </c>
      <c r="J10" s="2332">
        <f>SUM(J11,J15)</f>
        <v>0</v>
      </c>
      <c r="L10" s="2334"/>
    </row>
    <row r="11" spans="1:12" s="2333" customFormat="1" ht="15" customHeight="1">
      <c r="A11" s="3115"/>
      <c r="B11" s="3116"/>
      <c r="C11" s="3117"/>
      <c r="D11" s="3117"/>
      <c r="E11" s="2335" t="s">
        <v>685</v>
      </c>
      <c r="F11" s="2336">
        <f>SUM(F12:F14)</f>
        <v>0</v>
      </c>
      <c r="G11" s="2336">
        <f>SUM(G12:G14)</f>
        <v>0</v>
      </c>
      <c r="H11" s="2336">
        <f>SUM(H12:H14)</f>
        <v>0</v>
      </c>
      <c r="I11" s="2336">
        <f>SUM(I12:I14)</f>
        <v>0</v>
      </c>
      <c r="J11" s="2337">
        <f>SUM(J12:J14)</f>
        <v>0</v>
      </c>
    </row>
    <row r="12" spans="1:12" s="2333" customFormat="1" ht="15" hidden="1" customHeight="1">
      <c r="A12" s="3115"/>
      <c r="B12" s="3116"/>
      <c r="C12" s="3117"/>
      <c r="D12" s="3117"/>
      <c r="E12" s="2338"/>
      <c r="F12" s="2339">
        <f>SUM(G12:J12)</f>
        <v>0</v>
      </c>
      <c r="G12" s="2339"/>
      <c r="H12" s="2339"/>
      <c r="I12" s="2339"/>
      <c r="J12" s="2340"/>
    </row>
    <row r="13" spans="1:12" s="2333" customFormat="1" ht="15" hidden="1" customHeight="1">
      <c r="A13" s="3115"/>
      <c r="B13" s="3116"/>
      <c r="C13" s="3117"/>
      <c r="D13" s="3117"/>
      <c r="E13" s="2338"/>
      <c r="F13" s="2339">
        <f>SUM(G13:J13)</f>
        <v>0</v>
      </c>
      <c r="G13" s="2339"/>
      <c r="H13" s="2339"/>
      <c r="I13" s="2339"/>
      <c r="J13" s="2340"/>
    </row>
    <row r="14" spans="1:12" s="2333" customFormat="1" ht="15" hidden="1" customHeight="1">
      <c r="A14" s="3115"/>
      <c r="B14" s="3116"/>
      <c r="C14" s="3117"/>
      <c r="D14" s="3117"/>
      <c r="E14" s="2338"/>
      <c r="F14" s="2339">
        <f>SUM(G14:J14)</f>
        <v>0</v>
      </c>
      <c r="G14" s="2339"/>
      <c r="H14" s="2339"/>
      <c r="I14" s="2339"/>
      <c r="J14" s="2340"/>
    </row>
    <row r="15" spans="1:12" s="2333" customFormat="1" ht="15" customHeight="1">
      <c r="A15" s="3115"/>
      <c r="B15" s="3116"/>
      <c r="C15" s="3117"/>
      <c r="D15" s="3117"/>
      <c r="E15" s="2341" t="s">
        <v>1130</v>
      </c>
      <c r="F15" s="2336">
        <f>SUM(F16:F21)</f>
        <v>21300212</v>
      </c>
      <c r="G15" s="2336">
        <f t="shared" ref="G15:J15" si="1">SUM(G16:G21)</f>
        <v>0</v>
      </c>
      <c r="H15" s="2336">
        <f t="shared" si="1"/>
        <v>0</v>
      </c>
      <c r="I15" s="2336">
        <f t="shared" si="1"/>
        <v>21300212</v>
      </c>
      <c r="J15" s="2337">
        <f t="shared" si="1"/>
        <v>0</v>
      </c>
    </row>
    <row r="16" spans="1:12" s="2333" customFormat="1" ht="15" customHeight="1">
      <c r="A16" s="3115"/>
      <c r="B16" s="3116"/>
      <c r="C16" s="3154">
        <v>700</v>
      </c>
      <c r="D16" s="2342" t="s">
        <v>656</v>
      </c>
      <c r="E16" s="2338" t="s">
        <v>608</v>
      </c>
      <c r="F16" s="2339">
        <f>SUM(G16:J16)</f>
        <v>17997168</v>
      </c>
      <c r="G16" s="2339"/>
      <c r="H16" s="2339"/>
      <c r="I16" s="2339">
        <v>17997168</v>
      </c>
      <c r="J16" s="2340"/>
    </row>
    <row r="17" spans="1:19" s="2333" customFormat="1" ht="15" customHeight="1">
      <c r="A17" s="3115"/>
      <c r="B17" s="3116"/>
      <c r="C17" s="3155"/>
      <c r="D17" s="2342" t="s">
        <v>658</v>
      </c>
      <c r="E17" s="2338" t="s">
        <v>608</v>
      </c>
      <c r="F17" s="2339">
        <f t="shared" ref="F17:F21" si="2">SUM(G17:J17)</f>
        <v>674831</v>
      </c>
      <c r="G17" s="2339"/>
      <c r="H17" s="2339"/>
      <c r="I17" s="2339">
        <v>674831</v>
      </c>
      <c r="J17" s="2340"/>
    </row>
    <row r="18" spans="1:19" s="2333" customFormat="1" ht="15" customHeight="1">
      <c r="A18" s="3115"/>
      <c r="B18" s="3116"/>
      <c r="C18" s="2342">
        <v>750</v>
      </c>
      <c r="D18" s="2342">
        <v>75095</v>
      </c>
      <c r="E18" s="2338" t="s">
        <v>608</v>
      </c>
      <c r="F18" s="2339">
        <f t="shared" si="2"/>
        <v>1445771</v>
      </c>
      <c r="G18" s="2339"/>
      <c r="H18" s="2339"/>
      <c r="I18" s="2339">
        <v>1445771</v>
      </c>
      <c r="J18" s="2340"/>
    </row>
    <row r="19" spans="1:19" s="2333" customFormat="1" ht="15" customHeight="1">
      <c r="A19" s="3115"/>
      <c r="B19" s="3116"/>
      <c r="C19" s="3156">
        <v>921</v>
      </c>
      <c r="D19" s="2342">
        <v>92118</v>
      </c>
      <c r="E19" s="2338" t="s">
        <v>608</v>
      </c>
      <c r="F19" s="2339">
        <f t="shared" si="2"/>
        <v>113955</v>
      </c>
      <c r="G19" s="2339"/>
      <c r="H19" s="2339"/>
      <c r="I19" s="2339">
        <v>113955</v>
      </c>
      <c r="J19" s="2340"/>
    </row>
    <row r="20" spans="1:19" s="2333" customFormat="1" ht="15" customHeight="1">
      <c r="A20" s="3115"/>
      <c r="B20" s="3116"/>
      <c r="C20" s="3156"/>
      <c r="D20" s="2342">
        <v>92120</v>
      </c>
      <c r="E20" s="2338" t="s">
        <v>608</v>
      </c>
      <c r="F20" s="2339">
        <f t="shared" si="2"/>
        <v>93117</v>
      </c>
      <c r="G20" s="2339"/>
      <c r="H20" s="2339"/>
      <c r="I20" s="2339">
        <v>93117</v>
      </c>
      <c r="J20" s="2340"/>
    </row>
    <row r="21" spans="1:19" s="2333" customFormat="1" ht="15" customHeight="1">
      <c r="A21" s="3115"/>
      <c r="B21" s="3116"/>
      <c r="C21" s="3156"/>
      <c r="D21" s="2342">
        <v>92195</v>
      </c>
      <c r="E21" s="2338" t="s">
        <v>608</v>
      </c>
      <c r="F21" s="2339">
        <f t="shared" si="2"/>
        <v>975370</v>
      </c>
      <c r="G21" s="2339"/>
      <c r="H21" s="2339"/>
      <c r="I21" s="2339">
        <v>975370</v>
      </c>
      <c r="J21" s="2340"/>
    </row>
    <row r="22" spans="1:19" s="2333" customFormat="1" ht="22.5" customHeight="1">
      <c r="A22" s="3130" t="s">
        <v>1131</v>
      </c>
      <c r="B22" s="3133" t="s">
        <v>1132</v>
      </c>
      <c r="C22" s="3147"/>
      <c r="D22" s="3148"/>
      <c r="E22" s="2330" t="s">
        <v>1129</v>
      </c>
      <c r="F22" s="2331">
        <f>SUM(F23,F27)</f>
        <v>12223788</v>
      </c>
      <c r="G22" s="2331">
        <f>SUM(G23,G27)</f>
        <v>0</v>
      </c>
      <c r="H22" s="2331">
        <f>SUM(H23,H27)</f>
        <v>0</v>
      </c>
      <c r="I22" s="2331">
        <f>SUM(I23,I27)</f>
        <v>12223788</v>
      </c>
      <c r="J22" s="2332">
        <f>SUM(J23,J27)</f>
        <v>0</v>
      </c>
    </row>
    <row r="23" spans="1:19" s="2333" customFormat="1" ht="15" customHeight="1">
      <c r="A23" s="3131"/>
      <c r="B23" s="3134"/>
      <c r="C23" s="3149"/>
      <c r="D23" s="3150"/>
      <c r="E23" s="2335" t="s">
        <v>685</v>
      </c>
      <c r="F23" s="2336">
        <f>SUM(F24:F26)</f>
        <v>0</v>
      </c>
      <c r="G23" s="2336">
        <f>SUM(G24:G26)</f>
        <v>0</v>
      </c>
      <c r="H23" s="2336">
        <f>SUM(H24:H26)</f>
        <v>0</v>
      </c>
      <c r="I23" s="2336">
        <f>SUM(I24:I26)</f>
        <v>0</v>
      </c>
      <c r="J23" s="2337">
        <f>SUM(J24:J26)</f>
        <v>0</v>
      </c>
    </row>
    <row r="24" spans="1:19" s="2333" customFormat="1" ht="15" hidden="1" customHeight="1">
      <c r="A24" s="3131"/>
      <c r="B24" s="3134"/>
      <c r="C24" s="2343"/>
      <c r="D24" s="2343"/>
      <c r="E24" s="2338"/>
      <c r="F24" s="2339">
        <f>SUM(G24:J24)</f>
        <v>0</v>
      </c>
      <c r="G24" s="2339"/>
      <c r="H24" s="2339"/>
      <c r="I24" s="2339"/>
      <c r="J24" s="2340"/>
    </row>
    <row r="25" spans="1:19" s="2333" customFormat="1" ht="15" hidden="1" customHeight="1">
      <c r="A25" s="3131"/>
      <c r="B25" s="3134"/>
      <c r="C25" s="2344"/>
      <c r="D25" s="2344"/>
      <c r="E25" s="2338"/>
      <c r="F25" s="2339">
        <f>SUM(G25:J25)</f>
        <v>0</v>
      </c>
      <c r="G25" s="2339"/>
      <c r="H25" s="2339"/>
      <c r="I25" s="2339"/>
      <c r="J25" s="2340"/>
    </row>
    <row r="26" spans="1:19" s="2333" customFormat="1" ht="15" hidden="1" customHeight="1">
      <c r="A26" s="3131"/>
      <c r="B26" s="3134"/>
      <c r="C26" s="2343"/>
      <c r="D26" s="2343"/>
      <c r="E26" s="2338"/>
      <c r="F26" s="2339">
        <f>SUM(G26:J26)</f>
        <v>0</v>
      </c>
      <c r="G26" s="2339"/>
      <c r="H26" s="2339"/>
      <c r="I26" s="2339"/>
      <c r="J26" s="2340"/>
    </row>
    <row r="27" spans="1:19" s="2333" customFormat="1" ht="15" customHeight="1">
      <c r="A27" s="3131"/>
      <c r="B27" s="3134"/>
      <c r="C27" s="2343"/>
      <c r="D27" s="2343"/>
      <c r="E27" s="2341" t="s">
        <v>1130</v>
      </c>
      <c r="F27" s="2336">
        <f>SUM(F28:F30)</f>
        <v>12223788</v>
      </c>
      <c r="G27" s="2336">
        <f t="shared" ref="G27:J27" si="3">SUM(G28:G30)</f>
        <v>0</v>
      </c>
      <c r="H27" s="2336">
        <f t="shared" si="3"/>
        <v>0</v>
      </c>
      <c r="I27" s="2336">
        <f t="shared" si="3"/>
        <v>12223788</v>
      </c>
      <c r="J27" s="2337">
        <f t="shared" si="3"/>
        <v>0</v>
      </c>
    </row>
    <row r="28" spans="1:19" s="2333" customFormat="1" ht="15" customHeight="1">
      <c r="A28" s="3131"/>
      <c r="B28" s="3134"/>
      <c r="C28" s="2344">
        <v>150</v>
      </c>
      <c r="D28" s="2338" t="s">
        <v>253</v>
      </c>
      <c r="E28" s="2338" t="s">
        <v>607</v>
      </c>
      <c r="F28" s="2339">
        <f t="shared" ref="F28:F30" si="4">SUM(G28:J28)</f>
        <v>6715709</v>
      </c>
      <c r="G28" s="2339"/>
      <c r="H28" s="2339"/>
      <c r="I28" s="2339">
        <v>6715709</v>
      </c>
      <c r="J28" s="2340"/>
    </row>
    <row r="29" spans="1:19" s="2333" customFormat="1" ht="15" customHeight="1">
      <c r="A29" s="3132"/>
      <c r="B29" s="3135"/>
      <c r="C29" s="2344">
        <v>851</v>
      </c>
      <c r="D29" s="2338" t="s">
        <v>814</v>
      </c>
      <c r="E29" s="2338" t="s">
        <v>607</v>
      </c>
      <c r="F29" s="2339">
        <f t="shared" si="4"/>
        <v>5508079</v>
      </c>
      <c r="G29" s="2339"/>
      <c r="H29" s="2339"/>
      <c r="I29" s="2339">
        <v>5508079</v>
      </c>
      <c r="J29" s="2340"/>
    </row>
    <row r="30" spans="1:19" s="2333" customFormat="1" ht="15" hidden="1" customHeight="1">
      <c r="A30" s="2345"/>
      <c r="B30" s="2346"/>
      <c r="C30" s="2344"/>
      <c r="D30" s="2338"/>
      <c r="E30" s="2338" t="s">
        <v>393</v>
      </c>
      <c r="F30" s="2339">
        <f t="shared" si="4"/>
        <v>0</v>
      </c>
      <c r="G30" s="2339"/>
      <c r="H30" s="2339"/>
      <c r="I30" s="2339"/>
      <c r="J30" s="2340"/>
    </row>
    <row r="31" spans="1:19" s="2333" customFormat="1" ht="22.5" customHeight="1">
      <c r="A31" s="3130" t="s">
        <v>1133</v>
      </c>
      <c r="B31" s="3151" t="s">
        <v>1134</v>
      </c>
      <c r="C31" s="3136">
        <v>750</v>
      </c>
      <c r="D31" s="3139" t="s">
        <v>684</v>
      </c>
      <c r="E31" s="2330" t="s">
        <v>1129</v>
      </c>
      <c r="F31" s="2331">
        <f>SUM(F32,F47)</f>
        <v>2500000</v>
      </c>
      <c r="G31" s="2331">
        <f>SUM(G32,G47)</f>
        <v>375000</v>
      </c>
      <c r="H31" s="2331">
        <f>SUM(H32,H47)</f>
        <v>0</v>
      </c>
      <c r="I31" s="2331">
        <f>SUM(I32,I47)</f>
        <v>2125000</v>
      </c>
      <c r="J31" s="2332">
        <f>SUM(J32,J47)</f>
        <v>0</v>
      </c>
      <c r="K31" s="2334"/>
      <c r="L31" s="2334"/>
      <c r="M31" s="2334"/>
      <c r="N31" s="2334"/>
      <c r="O31" s="2334"/>
      <c r="P31" s="2334"/>
      <c r="Q31" s="2334"/>
      <c r="R31" s="2334"/>
      <c r="S31" s="2334"/>
    </row>
    <row r="32" spans="1:19" s="2333" customFormat="1" ht="21">
      <c r="A32" s="3131"/>
      <c r="B32" s="3152"/>
      <c r="C32" s="3137"/>
      <c r="D32" s="3140"/>
      <c r="E32" s="2335" t="s">
        <v>1135</v>
      </c>
      <c r="F32" s="2336">
        <f>SUM(F33,F38)</f>
        <v>2480000</v>
      </c>
      <c r="G32" s="2336">
        <f>SUM(G33,G38)</f>
        <v>372000</v>
      </c>
      <c r="H32" s="2336">
        <f>SUM(H33,H38)</f>
        <v>0</v>
      </c>
      <c r="I32" s="2336">
        <f>SUM(I33,I38)</f>
        <v>2108000</v>
      </c>
      <c r="J32" s="2337">
        <f>SUM(J33,J38)</f>
        <v>0</v>
      </c>
      <c r="L32" s="2334"/>
    </row>
    <row r="33" spans="1:12" s="2333" customFormat="1" ht="22.5">
      <c r="A33" s="3131"/>
      <c r="B33" s="3152"/>
      <c r="C33" s="3137"/>
      <c r="D33" s="3140"/>
      <c r="E33" s="2347" t="s">
        <v>1136</v>
      </c>
      <c r="F33" s="2348">
        <f>SUM(F34:F37)</f>
        <v>95294</v>
      </c>
      <c r="G33" s="2348">
        <f>SUM(G34:G37)</f>
        <v>14294</v>
      </c>
      <c r="H33" s="2348">
        <f>SUM(H34:H37)</f>
        <v>0</v>
      </c>
      <c r="I33" s="2348">
        <f>SUM(I34:I37)</f>
        <v>81000</v>
      </c>
      <c r="J33" s="2349">
        <f>SUM(J34:J37)</f>
        <v>0</v>
      </c>
      <c r="L33" s="2334"/>
    </row>
    <row r="34" spans="1:12" s="2333" customFormat="1" ht="15" hidden="1" customHeight="1">
      <c r="A34" s="3131"/>
      <c r="B34" s="3152"/>
      <c r="C34" s="3137"/>
      <c r="D34" s="3140"/>
      <c r="E34" s="2338" t="s">
        <v>544</v>
      </c>
      <c r="F34" s="2339">
        <f>SUM(G34:J34)</f>
        <v>0</v>
      </c>
      <c r="G34" s="2339"/>
      <c r="H34" s="2339"/>
      <c r="I34" s="2339"/>
      <c r="J34" s="2340"/>
    </row>
    <row r="35" spans="1:12" s="2333" customFormat="1" ht="15" hidden="1" customHeight="1">
      <c r="A35" s="3131"/>
      <c r="B35" s="3152"/>
      <c r="C35" s="3137"/>
      <c r="D35" s="3140"/>
      <c r="E35" s="2338" t="s">
        <v>545</v>
      </c>
      <c r="F35" s="2339">
        <f>SUM(G35:J35)</f>
        <v>0</v>
      </c>
      <c r="G35" s="2339"/>
      <c r="H35" s="2339"/>
      <c r="I35" s="2339"/>
      <c r="J35" s="2340"/>
    </row>
    <row r="36" spans="1:12" s="2333" customFormat="1" ht="15" customHeight="1">
      <c r="A36" s="3131"/>
      <c r="B36" s="3152"/>
      <c r="C36" s="3137"/>
      <c r="D36" s="3140"/>
      <c r="E36" s="2338" t="s">
        <v>548</v>
      </c>
      <c r="F36" s="2339">
        <f>SUM(G36:J36)</f>
        <v>81000</v>
      </c>
      <c r="G36" s="2339"/>
      <c r="H36" s="2339"/>
      <c r="I36" s="2339">
        <v>81000</v>
      </c>
      <c r="J36" s="2340"/>
    </row>
    <row r="37" spans="1:12" s="2333" customFormat="1" ht="15" customHeight="1">
      <c r="A37" s="3131"/>
      <c r="B37" s="3152"/>
      <c r="C37" s="3137"/>
      <c r="D37" s="3140"/>
      <c r="E37" s="2338" t="s">
        <v>549</v>
      </c>
      <c r="F37" s="2339">
        <f>SUM(G37:J37)</f>
        <v>14294</v>
      </c>
      <c r="G37" s="2339">
        <v>14294</v>
      </c>
      <c r="H37" s="2339"/>
      <c r="I37" s="2339"/>
      <c r="J37" s="2340"/>
    </row>
    <row r="38" spans="1:12" s="2333" customFormat="1" ht="22.5">
      <c r="A38" s="3131"/>
      <c r="B38" s="3152"/>
      <c r="C38" s="3137"/>
      <c r="D38" s="3140"/>
      <c r="E38" s="2347" t="s">
        <v>1137</v>
      </c>
      <c r="F38" s="2348">
        <f>SUM(F39:F46)</f>
        <v>2384706</v>
      </c>
      <c r="G38" s="2348">
        <f>SUM(G39:G46)</f>
        <v>357706</v>
      </c>
      <c r="H38" s="2348">
        <f>SUM(H39:H46)</f>
        <v>0</v>
      </c>
      <c r="I38" s="2348">
        <f>SUM(I39:I46)</f>
        <v>2027000</v>
      </c>
      <c r="J38" s="2349">
        <f>SUM(J39:J46)</f>
        <v>0</v>
      </c>
    </row>
    <row r="39" spans="1:12" s="2333" customFormat="1" ht="15" customHeight="1">
      <c r="A39" s="3131"/>
      <c r="B39" s="3152"/>
      <c r="C39" s="3137"/>
      <c r="D39" s="3140"/>
      <c r="E39" s="2338" t="s">
        <v>553</v>
      </c>
      <c r="F39" s="2339">
        <f>SUM(G39:J39)</f>
        <v>110000</v>
      </c>
      <c r="G39" s="2339"/>
      <c r="H39" s="2339"/>
      <c r="I39" s="2339">
        <v>110000</v>
      </c>
      <c r="J39" s="2340"/>
    </row>
    <row r="40" spans="1:12" s="2333" customFormat="1" ht="15" customHeight="1">
      <c r="A40" s="3131"/>
      <c r="B40" s="3152"/>
      <c r="C40" s="3137"/>
      <c r="D40" s="3140"/>
      <c r="E40" s="2338" t="s">
        <v>554</v>
      </c>
      <c r="F40" s="2339">
        <f>SUM(G40:J40)</f>
        <v>19412</v>
      </c>
      <c r="G40" s="2339">
        <v>19412</v>
      </c>
      <c r="H40" s="2339"/>
      <c r="I40" s="2339"/>
      <c r="J40" s="2340"/>
    </row>
    <row r="41" spans="1:12" s="2333" customFormat="1" ht="15" customHeight="1">
      <c r="A41" s="3131"/>
      <c r="B41" s="3152"/>
      <c r="C41" s="3137"/>
      <c r="D41" s="3140"/>
      <c r="E41" s="2338" t="s">
        <v>557</v>
      </c>
      <c r="F41" s="2339">
        <f t="shared" ref="F41:F46" si="5">SUM(G41:J41)</f>
        <v>1900000</v>
      </c>
      <c r="G41" s="2339"/>
      <c r="H41" s="2339"/>
      <c r="I41" s="2339">
        <v>1900000</v>
      </c>
      <c r="J41" s="2340"/>
    </row>
    <row r="42" spans="1:12" s="2333" customFormat="1" ht="15" customHeight="1">
      <c r="A42" s="3131"/>
      <c r="B42" s="3152"/>
      <c r="C42" s="3137"/>
      <c r="D42" s="3140"/>
      <c r="E42" s="2338" t="s">
        <v>558</v>
      </c>
      <c r="F42" s="2339">
        <f t="shared" si="5"/>
        <v>335294</v>
      </c>
      <c r="G42" s="2339">
        <v>335294</v>
      </c>
      <c r="H42" s="2339"/>
      <c r="I42" s="2339"/>
      <c r="J42" s="2340"/>
    </row>
    <row r="43" spans="1:12" s="2333" customFormat="1" ht="15" customHeight="1">
      <c r="A43" s="3131"/>
      <c r="B43" s="3152"/>
      <c r="C43" s="3137"/>
      <c r="D43" s="3140"/>
      <c r="E43" s="2338" t="s">
        <v>561</v>
      </c>
      <c r="F43" s="2339">
        <f t="shared" si="5"/>
        <v>8000</v>
      </c>
      <c r="G43" s="2339"/>
      <c r="H43" s="2339"/>
      <c r="I43" s="2339">
        <v>8000</v>
      </c>
      <c r="J43" s="2340"/>
    </row>
    <row r="44" spans="1:12" s="2333" customFormat="1" ht="15" customHeight="1">
      <c r="A44" s="3131"/>
      <c r="B44" s="3152"/>
      <c r="C44" s="3137"/>
      <c r="D44" s="3140"/>
      <c r="E44" s="2338" t="s">
        <v>562</v>
      </c>
      <c r="F44" s="2339">
        <f t="shared" si="5"/>
        <v>1412</v>
      </c>
      <c r="G44" s="2339">
        <v>1412</v>
      </c>
      <c r="H44" s="2339"/>
      <c r="I44" s="2339"/>
      <c r="J44" s="2340"/>
    </row>
    <row r="45" spans="1:12" s="2333" customFormat="1" ht="15" customHeight="1">
      <c r="A45" s="3131"/>
      <c r="B45" s="3152"/>
      <c r="C45" s="3137"/>
      <c r="D45" s="3140"/>
      <c r="E45" s="2338" t="s">
        <v>650</v>
      </c>
      <c r="F45" s="2339">
        <f t="shared" si="5"/>
        <v>9000</v>
      </c>
      <c r="G45" s="2339"/>
      <c r="H45" s="2339"/>
      <c r="I45" s="2339">
        <v>9000</v>
      </c>
      <c r="J45" s="2340"/>
    </row>
    <row r="46" spans="1:12" s="2333" customFormat="1" ht="15" customHeight="1">
      <c r="A46" s="3131"/>
      <c r="B46" s="3152"/>
      <c r="C46" s="3137"/>
      <c r="D46" s="3140"/>
      <c r="E46" s="2338" t="s">
        <v>651</v>
      </c>
      <c r="F46" s="2339">
        <f t="shared" si="5"/>
        <v>1588</v>
      </c>
      <c r="G46" s="2339">
        <v>1588</v>
      </c>
      <c r="H46" s="2339"/>
      <c r="I46" s="2339"/>
      <c r="J46" s="2340"/>
    </row>
    <row r="47" spans="1:12" s="2333" customFormat="1" ht="15" customHeight="1">
      <c r="A47" s="3131"/>
      <c r="B47" s="3152"/>
      <c r="C47" s="3137"/>
      <c r="D47" s="3140"/>
      <c r="E47" s="2341" t="s">
        <v>1130</v>
      </c>
      <c r="F47" s="2336">
        <f>SUM(F48:F49)</f>
        <v>20000</v>
      </c>
      <c r="G47" s="2336">
        <f>SUM(G48:G49)</f>
        <v>3000</v>
      </c>
      <c r="H47" s="2336">
        <f>SUM(H48:H49)</f>
        <v>0</v>
      </c>
      <c r="I47" s="2336">
        <f>SUM(I48:I49)</f>
        <v>17000</v>
      </c>
      <c r="J47" s="2337">
        <f>SUM(J48:J49)</f>
        <v>0</v>
      </c>
    </row>
    <row r="48" spans="1:12" s="2333" customFormat="1" ht="15" customHeight="1">
      <c r="A48" s="3131"/>
      <c r="B48" s="3152"/>
      <c r="C48" s="3137"/>
      <c r="D48" s="3140"/>
      <c r="E48" s="2338" t="s">
        <v>638</v>
      </c>
      <c r="F48" s="2339">
        <f>SUM(G48:J48)</f>
        <v>17000</v>
      </c>
      <c r="G48" s="2339"/>
      <c r="H48" s="2339"/>
      <c r="I48" s="2339">
        <v>17000</v>
      </c>
      <c r="J48" s="2340"/>
    </row>
    <row r="49" spans="1:11" s="2333" customFormat="1" ht="15" customHeight="1">
      <c r="A49" s="3132"/>
      <c r="B49" s="3153"/>
      <c r="C49" s="3138"/>
      <c r="D49" s="3141"/>
      <c r="E49" s="2344">
        <v>6069</v>
      </c>
      <c r="F49" s="2339">
        <f>SUM(G49:J49)</f>
        <v>3000</v>
      </c>
      <c r="G49" s="2339">
        <v>3000</v>
      </c>
      <c r="H49" s="2339"/>
      <c r="I49" s="2339"/>
      <c r="J49" s="2340"/>
    </row>
    <row r="50" spans="1:11" s="2333" customFormat="1" ht="22.5">
      <c r="A50" s="3115" t="s">
        <v>1138</v>
      </c>
      <c r="B50" s="3116" t="s">
        <v>1139</v>
      </c>
      <c r="C50" s="3117">
        <v>750</v>
      </c>
      <c r="D50" s="3118" t="s">
        <v>684</v>
      </c>
      <c r="E50" s="2330" t="s">
        <v>1129</v>
      </c>
      <c r="F50" s="2331">
        <f>SUM(F51,F61)</f>
        <v>1000000</v>
      </c>
      <c r="G50" s="2331">
        <f>SUM(G51,G61)</f>
        <v>150000</v>
      </c>
      <c r="H50" s="2331">
        <f>SUM(H51,H61)</f>
        <v>0</v>
      </c>
      <c r="I50" s="2331">
        <f>SUM(I51,I61)</f>
        <v>850000</v>
      </c>
      <c r="J50" s="2332">
        <f>SUM(J51,J61)</f>
        <v>0</v>
      </c>
    </row>
    <row r="51" spans="1:11" s="2333" customFormat="1" ht="21">
      <c r="A51" s="3115"/>
      <c r="B51" s="3116"/>
      <c r="C51" s="3117"/>
      <c r="D51" s="3118"/>
      <c r="E51" s="2335" t="s">
        <v>1135</v>
      </c>
      <c r="F51" s="2336">
        <f>SUM(F52,F56)</f>
        <v>1000000</v>
      </c>
      <c r="G51" s="2336">
        <f>SUM(G52,G56)</f>
        <v>150000</v>
      </c>
      <c r="H51" s="2336">
        <f>SUM(H52,H56)</f>
        <v>0</v>
      </c>
      <c r="I51" s="2336">
        <f>SUM(I52,I56)</f>
        <v>850000</v>
      </c>
      <c r="J51" s="2337">
        <f>SUM(J52,J56)</f>
        <v>0</v>
      </c>
    </row>
    <row r="52" spans="1:11" s="2333" customFormat="1" ht="22.5" hidden="1">
      <c r="A52" s="3115"/>
      <c r="B52" s="3116"/>
      <c r="C52" s="3117"/>
      <c r="D52" s="3118"/>
      <c r="E52" s="2347" t="s">
        <v>1136</v>
      </c>
      <c r="F52" s="2348">
        <f>SUM(F53:F55)</f>
        <v>0</v>
      </c>
      <c r="G52" s="2348">
        <f>SUM(G53:G55)</f>
        <v>0</v>
      </c>
      <c r="H52" s="2348">
        <f>SUM(H53:H55)</f>
        <v>0</v>
      </c>
      <c r="I52" s="2348">
        <f>SUM(I53:I55)</f>
        <v>0</v>
      </c>
      <c r="J52" s="2349">
        <f>SUM(J53:J55)</f>
        <v>0</v>
      </c>
    </row>
    <row r="53" spans="1:11" s="2333" customFormat="1" ht="15" hidden="1" customHeight="1">
      <c r="A53" s="3115"/>
      <c r="B53" s="3116"/>
      <c r="C53" s="3117"/>
      <c r="D53" s="3118"/>
      <c r="E53" s="2338"/>
      <c r="F53" s="2339">
        <f>SUM(G53:J53)</f>
        <v>0</v>
      </c>
      <c r="G53" s="2339"/>
      <c r="H53" s="2339"/>
      <c r="I53" s="2339"/>
      <c r="J53" s="2340"/>
    </row>
    <row r="54" spans="1:11" s="2333" customFormat="1" ht="15" hidden="1" customHeight="1">
      <c r="A54" s="3115"/>
      <c r="B54" s="3116"/>
      <c r="C54" s="3117"/>
      <c r="D54" s="3118"/>
      <c r="E54" s="2338"/>
      <c r="F54" s="2339">
        <f>SUM(G54:J54)</f>
        <v>0</v>
      </c>
      <c r="G54" s="2339"/>
      <c r="H54" s="2339"/>
      <c r="I54" s="2339"/>
      <c r="J54" s="2340"/>
    </row>
    <row r="55" spans="1:11" s="2333" customFormat="1" ht="15" hidden="1" customHeight="1">
      <c r="A55" s="3115"/>
      <c r="B55" s="3116"/>
      <c r="C55" s="3117"/>
      <c r="D55" s="3118"/>
      <c r="E55" s="2338"/>
      <c r="F55" s="2339">
        <f>SUM(G55:J55)</f>
        <v>0</v>
      </c>
      <c r="G55" s="2339"/>
      <c r="H55" s="2339"/>
      <c r="I55" s="2339"/>
      <c r="J55" s="2340"/>
    </row>
    <row r="56" spans="1:11" s="2333" customFormat="1" ht="22.5">
      <c r="A56" s="3115"/>
      <c r="B56" s="3116"/>
      <c r="C56" s="3117"/>
      <c r="D56" s="3118"/>
      <c r="E56" s="2347" t="s">
        <v>1137</v>
      </c>
      <c r="F56" s="2348">
        <f>SUM(F57:F60)</f>
        <v>1000000</v>
      </c>
      <c r="G56" s="2348">
        <f>SUM(G57:G60)</f>
        <v>150000</v>
      </c>
      <c r="H56" s="2348">
        <f>SUM(H57:H60)</f>
        <v>0</v>
      </c>
      <c r="I56" s="2348">
        <f>SUM(I57:I60)</f>
        <v>850000</v>
      </c>
      <c r="J56" s="2349">
        <f>SUM(J57:J60)</f>
        <v>0</v>
      </c>
    </row>
    <row r="57" spans="1:11" s="2333" customFormat="1" ht="15" customHeight="1">
      <c r="A57" s="3115"/>
      <c r="B57" s="3116"/>
      <c r="C57" s="3117"/>
      <c r="D57" s="3118"/>
      <c r="E57" s="2338" t="s">
        <v>557</v>
      </c>
      <c r="F57" s="2339">
        <f>SUM(G57:J57)</f>
        <v>34000</v>
      </c>
      <c r="G57" s="2339"/>
      <c r="H57" s="2339"/>
      <c r="I57" s="2339">
        <v>34000</v>
      </c>
      <c r="J57" s="2340"/>
    </row>
    <row r="58" spans="1:11" s="2333" customFormat="1" ht="15" customHeight="1">
      <c r="A58" s="3115"/>
      <c r="B58" s="3116"/>
      <c r="C58" s="3117"/>
      <c r="D58" s="3118"/>
      <c r="E58" s="2338" t="s">
        <v>558</v>
      </c>
      <c r="F58" s="2339">
        <f>SUM(G58:J58)</f>
        <v>6000</v>
      </c>
      <c r="G58" s="2339">
        <v>6000</v>
      </c>
      <c r="H58" s="2339"/>
      <c r="I58" s="2339"/>
      <c r="J58" s="2340"/>
    </row>
    <row r="59" spans="1:11" s="2333" customFormat="1" ht="15" customHeight="1">
      <c r="A59" s="3115"/>
      <c r="B59" s="3116"/>
      <c r="C59" s="3117"/>
      <c r="D59" s="3118"/>
      <c r="E59" s="2338" t="s">
        <v>559</v>
      </c>
      <c r="F59" s="2339">
        <f>SUM(G59:J59)</f>
        <v>816000</v>
      </c>
      <c r="G59" s="2339"/>
      <c r="H59" s="2339"/>
      <c r="I59" s="2339">
        <v>816000</v>
      </c>
      <c r="J59" s="2340"/>
    </row>
    <row r="60" spans="1:11" s="2333" customFormat="1" ht="15" customHeight="1">
      <c r="A60" s="3115"/>
      <c r="B60" s="3116"/>
      <c r="C60" s="3117"/>
      <c r="D60" s="3118"/>
      <c r="E60" s="2338" t="s">
        <v>560</v>
      </c>
      <c r="F60" s="2339">
        <f>SUM(G60:J60)</f>
        <v>144000</v>
      </c>
      <c r="G60" s="2339">
        <v>144000</v>
      </c>
      <c r="H60" s="2339"/>
      <c r="I60" s="2339"/>
      <c r="J60" s="2340"/>
    </row>
    <row r="61" spans="1:11" s="2333" customFormat="1" ht="15" customHeight="1">
      <c r="A61" s="3115"/>
      <c r="B61" s="3116"/>
      <c r="C61" s="3117"/>
      <c r="D61" s="3118"/>
      <c r="E61" s="2341" t="s">
        <v>1130</v>
      </c>
      <c r="F61" s="2336">
        <f>SUM(F62:F62)</f>
        <v>0</v>
      </c>
      <c r="G61" s="2336">
        <f>SUM(G62:G62)</f>
        <v>0</v>
      </c>
      <c r="H61" s="2336">
        <f>SUM(H62:H62)</f>
        <v>0</v>
      </c>
      <c r="I61" s="2336">
        <f>SUM(I62:I62)</f>
        <v>0</v>
      </c>
      <c r="J61" s="2337">
        <f>SUM(J62:J62)</f>
        <v>0</v>
      </c>
    </row>
    <row r="62" spans="1:11" s="2333" customFormat="1" ht="15" hidden="1" customHeight="1">
      <c r="A62" s="2350"/>
      <c r="B62" s="2351"/>
      <c r="C62" s="2352"/>
      <c r="D62" s="2353"/>
      <c r="E62" s="2354"/>
      <c r="F62" s="2355">
        <f>SUM(G62:J62)</f>
        <v>0</v>
      </c>
      <c r="G62" s="2355"/>
      <c r="H62" s="2355"/>
      <c r="I62" s="2355"/>
      <c r="J62" s="2356"/>
    </row>
    <row r="63" spans="1:11" s="2333" customFormat="1" ht="22.5">
      <c r="A63" s="3115" t="s">
        <v>1140</v>
      </c>
      <c r="B63" s="3146" t="s">
        <v>1141</v>
      </c>
      <c r="C63" s="3117">
        <v>750</v>
      </c>
      <c r="D63" s="3118" t="s">
        <v>684</v>
      </c>
      <c r="E63" s="2330" t="s">
        <v>1129</v>
      </c>
      <c r="F63" s="2331">
        <f>SUM(F64,F77)</f>
        <v>29864940</v>
      </c>
      <c r="G63" s="2331">
        <f>SUM(G64,G77)</f>
        <v>4479741</v>
      </c>
      <c r="H63" s="2331">
        <f>SUM(H64,H77)</f>
        <v>0</v>
      </c>
      <c r="I63" s="2331">
        <f>SUM(I64,I77)</f>
        <v>25385199</v>
      </c>
      <c r="J63" s="2332">
        <f>SUM(J64,J77)</f>
        <v>0</v>
      </c>
      <c r="K63" s="2334"/>
    </row>
    <row r="64" spans="1:11" s="2333" customFormat="1" ht="21">
      <c r="A64" s="3115"/>
      <c r="B64" s="3146"/>
      <c r="C64" s="3117"/>
      <c r="D64" s="3118"/>
      <c r="E64" s="2335" t="s">
        <v>1135</v>
      </c>
      <c r="F64" s="2336">
        <f>SUM(F65,F74)</f>
        <v>29864940</v>
      </c>
      <c r="G64" s="2336">
        <f>SUM(G65,G74)</f>
        <v>4479741</v>
      </c>
      <c r="H64" s="2336">
        <f>SUM(H65,H74)</f>
        <v>0</v>
      </c>
      <c r="I64" s="2336">
        <f>SUM(I65,I74)</f>
        <v>25385199</v>
      </c>
      <c r="J64" s="2337">
        <f>SUM(J65,J74)</f>
        <v>0</v>
      </c>
    </row>
    <row r="65" spans="1:11" s="2333" customFormat="1" ht="22.5">
      <c r="A65" s="3115"/>
      <c r="B65" s="3146"/>
      <c r="C65" s="3117"/>
      <c r="D65" s="3118"/>
      <c r="E65" s="2347" t="s">
        <v>1136</v>
      </c>
      <c r="F65" s="2348">
        <f>SUM(F66:F73)</f>
        <v>29864940</v>
      </c>
      <c r="G65" s="2348">
        <f t="shared" ref="G65:J65" si="6">SUM(G66:G73)</f>
        <v>4479741</v>
      </c>
      <c r="H65" s="2348">
        <f t="shared" si="6"/>
        <v>0</v>
      </c>
      <c r="I65" s="2348">
        <f t="shared" si="6"/>
        <v>25385199</v>
      </c>
      <c r="J65" s="2349">
        <f t="shared" si="6"/>
        <v>0</v>
      </c>
      <c r="K65" s="2334"/>
    </row>
    <row r="66" spans="1:11" s="2333" customFormat="1" ht="15" customHeight="1">
      <c r="A66" s="3115"/>
      <c r="B66" s="3146"/>
      <c r="C66" s="3117"/>
      <c r="D66" s="3118"/>
      <c r="E66" s="2338" t="s">
        <v>540</v>
      </c>
      <c r="F66" s="2339">
        <f>SUM(G66:J66)</f>
        <v>19797058</v>
      </c>
      <c r="G66" s="2339"/>
      <c r="H66" s="2339"/>
      <c r="I66" s="2339">
        <v>19797058</v>
      </c>
      <c r="J66" s="2340"/>
    </row>
    <row r="67" spans="1:11" s="2333" customFormat="1" ht="15" customHeight="1">
      <c r="A67" s="3115"/>
      <c r="B67" s="3146"/>
      <c r="C67" s="3117"/>
      <c r="D67" s="3118"/>
      <c r="E67" s="2338" t="s">
        <v>541</v>
      </c>
      <c r="F67" s="2339">
        <f t="shared" ref="F67:F73" si="7">SUM(G67:J67)</f>
        <v>3493598</v>
      </c>
      <c r="G67" s="2339">
        <v>3493598</v>
      </c>
      <c r="H67" s="2339"/>
      <c r="I67" s="2339"/>
      <c r="J67" s="2340"/>
    </row>
    <row r="68" spans="1:11" s="2333" customFormat="1" ht="15" customHeight="1">
      <c r="A68" s="3115"/>
      <c r="B68" s="3146"/>
      <c r="C68" s="3117"/>
      <c r="D68" s="3118"/>
      <c r="E68" s="2338" t="s">
        <v>542</v>
      </c>
      <c r="F68" s="2339">
        <f t="shared" si="7"/>
        <v>1420929</v>
      </c>
      <c r="G68" s="2339"/>
      <c r="H68" s="2339"/>
      <c r="I68" s="2339">
        <v>1420929</v>
      </c>
      <c r="J68" s="2340"/>
    </row>
    <row r="69" spans="1:11" s="2333" customFormat="1" ht="15" customHeight="1">
      <c r="A69" s="3115"/>
      <c r="B69" s="3146"/>
      <c r="C69" s="3117"/>
      <c r="D69" s="3118"/>
      <c r="E69" s="2338" t="s">
        <v>543</v>
      </c>
      <c r="F69" s="2339">
        <f t="shared" si="7"/>
        <v>250753</v>
      </c>
      <c r="G69" s="2339">
        <v>250753</v>
      </c>
      <c r="H69" s="2339"/>
      <c r="I69" s="2339"/>
      <c r="J69" s="2340"/>
    </row>
    <row r="70" spans="1:11" s="2333" customFormat="1" ht="15" customHeight="1">
      <c r="A70" s="3115"/>
      <c r="B70" s="3146"/>
      <c r="C70" s="3117"/>
      <c r="D70" s="3118"/>
      <c r="E70" s="2338" t="s">
        <v>544</v>
      </c>
      <c r="F70" s="2339">
        <f t="shared" si="7"/>
        <v>3647372</v>
      </c>
      <c r="G70" s="2339"/>
      <c r="H70" s="2339"/>
      <c r="I70" s="2339">
        <v>3647372</v>
      </c>
      <c r="J70" s="2340"/>
    </row>
    <row r="71" spans="1:11" s="2333" customFormat="1" ht="15" customHeight="1">
      <c r="A71" s="3115"/>
      <c r="B71" s="3146"/>
      <c r="C71" s="3117"/>
      <c r="D71" s="3118"/>
      <c r="E71" s="2338" t="s">
        <v>545</v>
      </c>
      <c r="F71" s="2339">
        <f t="shared" si="7"/>
        <v>643654</v>
      </c>
      <c r="G71" s="2339">
        <v>643654</v>
      </c>
      <c r="H71" s="2339"/>
      <c r="I71" s="2339"/>
      <c r="J71" s="2340"/>
    </row>
    <row r="72" spans="1:11" s="2333" customFormat="1" ht="15" customHeight="1">
      <c r="A72" s="3115"/>
      <c r="B72" s="3146"/>
      <c r="C72" s="3117"/>
      <c r="D72" s="3118"/>
      <c r="E72" s="2338" t="s">
        <v>546</v>
      </c>
      <c r="F72" s="2339">
        <f t="shared" si="7"/>
        <v>519840</v>
      </c>
      <c r="G72" s="2339"/>
      <c r="H72" s="2339"/>
      <c r="I72" s="2339">
        <v>519840</v>
      </c>
      <c r="J72" s="2340"/>
    </row>
    <row r="73" spans="1:11" s="2333" customFormat="1" ht="15" customHeight="1">
      <c r="A73" s="3115"/>
      <c r="B73" s="3146"/>
      <c r="C73" s="3117"/>
      <c r="D73" s="3118"/>
      <c r="E73" s="2338" t="s">
        <v>547</v>
      </c>
      <c r="F73" s="2339">
        <f t="shared" si="7"/>
        <v>91736</v>
      </c>
      <c r="G73" s="2339">
        <v>91736</v>
      </c>
      <c r="H73" s="2339"/>
      <c r="I73" s="2339"/>
      <c r="J73" s="2340"/>
    </row>
    <row r="74" spans="1:11" s="2333" customFormat="1" ht="22.5" hidden="1">
      <c r="A74" s="3115"/>
      <c r="B74" s="3146"/>
      <c r="C74" s="3117"/>
      <c r="D74" s="3118"/>
      <c r="E74" s="2347" t="s">
        <v>1137</v>
      </c>
      <c r="F74" s="2348">
        <f>SUM(F75:F76)</f>
        <v>0</v>
      </c>
      <c r="G74" s="2348">
        <f>SUM(G75:G76)</f>
        <v>0</v>
      </c>
      <c r="H74" s="2348">
        <f>SUM(H75:H76)</f>
        <v>0</v>
      </c>
      <c r="I74" s="2348">
        <f>SUM(I75:I76)</f>
        <v>0</v>
      </c>
      <c r="J74" s="2349">
        <f>SUM(J75:J76)</f>
        <v>0</v>
      </c>
    </row>
    <row r="75" spans="1:11" s="2333" customFormat="1" ht="15" hidden="1" customHeight="1">
      <c r="A75" s="3115"/>
      <c r="B75" s="3146"/>
      <c r="C75" s="3117"/>
      <c r="D75" s="3118"/>
      <c r="E75" s="2338"/>
      <c r="F75" s="2339">
        <f>SUM(G75:J75)</f>
        <v>0</v>
      </c>
      <c r="G75" s="2339"/>
      <c r="H75" s="2339"/>
      <c r="I75" s="2339"/>
      <c r="J75" s="2340"/>
    </row>
    <row r="76" spans="1:11" s="2333" customFormat="1" ht="15" hidden="1" customHeight="1">
      <c r="A76" s="3115"/>
      <c r="B76" s="3146"/>
      <c r="C76" s="3117"/>
      <c r="D76" s="3118"/>
      <c r="E76" s="2338"/>
      <c r="F76" s="2339">
        <f>SUM(G76:J76)</f>
        <v>0</v>
      </c>
      <c r="G76" s="2339"/>
      <c r="H76" s="2339"/>
      <c r="I76" s="2339"/>
      <c r="J76" s="2340"/>
    </row>
    <row r="77" spans="1:11" s="2333" customFormat="1" ht="15" customHeight="1">
      <c r="A77" s="3115"/>
      <c r="B77" s="3146"/>
      <c r="C77" s="3117"/>
      <c r="D77" s="3118"/>
      <c r="E77" s="2341" t="s">
        <v>1130</v>
      </c>
      <c r="F77" s="2336">
        <f>SUM(F78:F78)</f>
        <v>0</v>
      </c>
      <c r="G77" s="2336">
        <f>SUM(G78:G78)</f>
        <v>0</v>
      </c>
      <c r="H77" s="2336">
        <f>SUM(H78:H78)</f>
        <v>0</v>
      </c>
      <c r="I77" s="2336">
        <f>SUM(I78:I78)</f>
        <v>0</v>
      </c>
      <c r="J77" s="2337">
        <f>SUM(J78:J78)</f>
        <v>0</v>
      </c>
    </row>
    <row r="78" spans="1:11" s="2333" customFormat="1" ht="15" hidden="1" customHeight="1">
      <c r="A78" s="2350"/>
      <c r="B78" s="2357"/>
      <c r="C78" s="2352"/>
      <c r="D78" s="2353"/>
      <c r="E78" s="2354"/>
      <c r="F78" s="2355">
        <f>SUM(G78:J78)</f>
        <v>0</v>
      </c>
      <c r="G78" s="2355"/>
      <c r="H78" s="2355"/>
      <c r="I78" s="2355"/>
      <c r="J78" s="2356"/>
    </row>
    <row r="79" spans="1:11" s="2333" customFormat="1" ht="22.5">
      <c r="A79" s="3115" t="s">
        <v>1142</v>
      </c>
      <c r="B79" s="3116" t="s">
        <v>1143</v>
      </c>
      <c r="C79" s="3117">
        <v>750</v>
      </c>
      <c r="D79" s="3118" t="s">
        <v>684</v>
      </c>
      <c r="E79" s="2330" t="s">
        <v>1129</v>
      </c>
      <c r="F79" s="2331">
        <f>SUM(F80,F115)</f>
        <v>4046360</v>
      </c>
      <c r="G79" s="2331">
        <f>SUM(G80,G115)</f>
        <v>606954</v>
      </c>
      <c r="H79" s="2331">
        <f>SUM(H80,H115)</f>
        <v>0</v>
      </c>
      <c r="I79" s="2331">
        <f>SUM(I80,I115)</f>
        <v>3439406</v>
      </c>
      <c r="J79" s="2332">
        <f>SUM(J80,J115)</f>
        <v>0</v>
      </c>
    </row>
    <row r="80" spans="1:11" s="2333" customFormat="1" ht="21">
      <c r="A80" s="3115"/>
      <c r="B80" s="3116"/>
      <c r="C80" s="3117"/>
      <c r="D80" s="3118"/>
      <c r="E80" s="2335" t="s">
        <v>1135</v>
      </c>
      <c r="F80" s="2336">
        <f>SUM(F81,F88)</f>
        <v>3926360</v>
      </c>
      <c r="G80" s="2336">
        <f>SUM(G81,G88)</f>
        <v>588954</v>
      </c>
      <c r="H80" s="2336">
        <f>SUM(H81,H88)</f>
        <v>0</v>
      </c>
      <c r="I80" s="2336">
        <f>SUM(I81,I88)</f>
        <v>3337406</v>
      </c>
      <c r="J80" s="2337">
        <f>SUM(J81,J88)</f>
        <v>0</v>
      </c>
    </row>
    <row r="81" spans="1:10" s="2333" customFormat="1" ht="22.5">
      <c r="A81" s="3115"/>
      <c r="B81" s="3116"/>
      <c r="C81" s="3117"/>
      <c r="D81" s="3118"/>
      <c r="E81" s="2347" t="s">
        <v>1136</v>
      </c>
      <c r="F81" s="2348">
        <f>SUM(F82:F87)</f>
        <v>1372860</v>
      </c>
      <c r="G81" s="2348">
        <f t="shared" ref="G81:J81" si="8">SUM(G82:G87)</f>
        <v>205929</v>
      </c>
      <c r="H81" s="2348">
        <f t="shared" si="8"/>
        <v>0</v>
      </c>
      <c r="I81" s="2348">
        <f t="shared" si="8"/>
        <v>1166931</v>
      </c>
      <c r="J81" s="2349">
        <f t="shared" si="8"/>
        <v>0</v>
      </c>
    </row>
    <row r="82" spans="1:10" s="2333" customFormat="1" ht="15" customHeight="1">
      <c r="A82" s="3115"/>
      <c r="B82" s="3116"/>
      <c r="C82" s="3117"/>
      <c r="D82" s="3118"/>
      <c r="E82" s="2338" t="s">
        <v>544</v>
      </c>
      <c r="F82" s="2339">
        <f t="shared" ref="F82:F87" si="9">SUM(G82:J82)</f>
        <v>9248</v>
      </c>
      <c r="G82" s="2339"/>
      <c r="H82" s="2339"/>
      <c r="I82" s="2339">
        <v>9248</v>
      </c>
      <c r="J82" s="2340"/>
    </row>
    <row r="83" spans="1:10" s="2333" customFormat="1" ht="15" customHeight="1">
      <c r="A83" s="3115"/>
      <c r="B83" s="3116"/>
      <c r="C83" s="3117"/>
      <c r="D83" s="3118"/>
      <c r="E83" s="2338" t="s">
        <v>545</v>
      </c>
      <c r="F83" s="2339">
        <f t="shared" si="9"/>
        <v>1632</v>
      </c>
      <c r="G83" s="2339">
        <v>1632</v>
      </c>
      <c r="H83" s="2339"/>
      <c r="I83" s="2339"/>
      <c r="J83" s="2340"/>
    </row>
    <row r="84" spans="1:10" s="2333" customFormat="1" ht="15" customHeight="1">
      <c r="A84" s="3115"/>
      <c r="B84" s="3116"/>
      <c r="C84" s="3117"/>
      <c r="D84" s="3118"/>
      <c r="E84" s="2338" t="s">
        <v>546</v>
      </c>
      <c r="F84" s="2339">
        <f t="shared" si="9"/>
        <v>1173</v>
      </c>
      <c r="G84" s="2339"/>
      <c r="H84" s="2339"/>
      <c r="I84" s="2339">
        <v>1173</v>
      </c>
      <c r="J84" s="2340"/>
    </row>
    <row r="85" spans="1:10" s="2333" customFormat="1" ht="15" customHeight="1">
      <c r="A85" s="3115"/>
      <c r="B85" s="3116"/>
      <c r="C85" s="3117"/>
      <c r="D85" s="3118"/>
      <c r="E85" s="2338" t="s">
        <v>547</v>
      </c>
      <c r="F85" s="2339">
        <f t="shared" si="9"/>
        <v>207</v>
      </c>
      <c r="G85" s="2339">
        <v>207</v>
      </c>
      <c r="H85" s="2339"/>
      <c r="I85" s="2339"/>
      <c r="J85" s="2340"/>
    </row>
    <row r="86" spans="1:10" s="2333" customFormat="1" ht="15" customHeight="1">
      <c r="A86" s="3115"/>
      <c r="B86" s="3116"/>
      <c r="C86" s="3117"/>
      <c r="D86" s="3118"/>
      <c r="E86" s="2338" t="s">
        <v>548</v>
      </c>
      <c r="F86" s="2339">
        <f t="shared" si="9"/>
        <v>1156510</v>
      </c>
      <c r="G86" s="2339"/>
      <c r="H86" s="2339"/>
      <c r="I86" s="2339">
        <v>1156510</v>
      </c>
      <c r="J86" s="2340"/>
    </row>
    <row r="87" spans="1:10" s="2333" customFormat="1" ht="15" customHeight="1">
      <c r="A87" s="3115"/>
      <c r="B87" s="3116"/>
      <c r="C87" s="3117"/>
      <c r="D87" s="3118"/>
      <c r="E87" s="2338" t="s">
        <v>549</v>
      </c>
      <c r="F87" s="2339">
        <f t="shared" si="9"/>
        <v>204090</v>
      </c>
      <c r="G87" s="2339">
        <v>204090</v>
      </c>
      <c r="H87" s="2339"/>
      <c r="I87" s="2339"/>
      <c r="J87" s="2340"/>
    </row>
    <row r="88" spans="1:10" s="2333" customFormat="1" ht="22.5">
      <c r="A88" s="3115"/>
      <c r="B88" s="3116"/>
      <c r="C88" s="3117"/>
      <c r="D88" s="3118"/>
      <c r="E88" s="2347" t="s">
        <v>1137</v>
      </c>
      <c r="F88" s="2348">
        <f>SUM(F89:F114)</f>
        <v>2553500</v>
      </c>
      <c r="G88" s="2348">
        <f t="shared" ref="G88:J88" si="10">SUM(G89:G114)</f>
        <v>383025</v>
      </c>
      <c r="H88" s="2348">
        <f t="shared" si="10"/>
        <v>0</v>
      </c>
      <c r="I88" s="2348">
        <f t="shared" si="10"/>
        <v>2170475</v>
      </c>
      <c r="J88" s="2349">
        <f t="shared" si="10"/>
        <v>0</v>
      </c>
    </row>
    <row r="89" spans="1:10" s="2333" customFormat="1" ht="15" customHeight="1">
      <c r="A89" s="3115"/>
      <c r="B89" s="3116"/>
      <c r="C89" s="3117"/>
      <c r="D89" s="3118"/>
      <c r="E89" s="2338" t="s">
        <v>687</v>
      </c>
      <c r="F89" s="2339">
        <f>SUM(G89:J89)</f>
        <v>21250</v>
      </c>
      <c r="G89" s="2339"/>
      <c r="H89" s="2339"/>
      <c r="I89" s="2339">
        <v>21250</v>
      </c>
      <c r="J89" s="2340"/>
    </row>
    <row r="90" spans="1:10" s="2333" customFormat="1" ht="15" customHeight="1">
      <c r="A90" s="3115"/>
      <c r="B90" s="3116"/>
      <c r="C90" s="3117"/>
      <c r="D90" s="3118"/>
      <c r="E90" s="2338" t="s">
        <v>688</v>
      </c>
      <c r="F90" s="2339">
        <f t="shared" ref="F90:F114" si="11">SUM(G90:J90)</f>
        <v>3750</v>
      </c>
      <c r="G90" s="2339">
        <v>3750</v>
      </c>
      <c r="H90" s="2339"/>
      <c r="I90" s="2339"/>
      <c r="J90" s="2340"/>
    </row>
    <row r="91" spans="1:10" s="2333" customFormat="1" ht="15" customHeight="1">
      <c r="A91" s="3115"/>
      <c r="B91" s="3116"/>
      <c r="C91" s="3117"/>
      <c r="D91" s="3118"/>
      <c r="E91" s="2338" t="s">
        <v>689</v>
      </c>
      <c r="F91" s="2339">
        <f t="shared" si="11"/>
        <v>10200</v>
      </c>
      <c r="G91" s="2339"/>
      <c r="H91" s="2339"/>
      <c r="I91" s="2339">
        <v>10200</v>
      </c>
      <c r="J91" s="2340"/>
    </row>
    <row r="92" spans="1:10" s="2333" customFormat="1" ht="15" customHeight="1">
      <c r="A92" s="3115"/>
      <c r="B92" s="3116"/>
      <c r="C92" s="3117"/>
      <c r="D92" s="3118"/>
      <c r="E92" s="2338" t="s">
        <v>691</v>
      </c>
      <c r="F92" s="2339">
        <f t="shared" si="11"/>
        <v>1800</v>
      </c>
      <c r="G92" s="2339">
        <v>1800</v>
      </c>
      <c r="H92" s="2339"/>
      <c r="I92" s="2339"/>
      <c r="J92" s="2340"/>
    </row>
    <row r="93" spans="1:10" s="2333" customFormat="1" ht="15" customHeight="1">
      <c r="A93" s="3115"/>
      <c r="B93" s="3116"/>
      <c r="C93" s="3117"/>
      <c r="D93" s="3118"/>
      <c r="E93" s="2338" t="s">
        <v>553</v>
      </c>
      <c r="F93" s="2339">
        <f t="shared" si="11"/>
        <v>918000</v>
      </c>
      <c r="G93" s="2339"/>
      <c r="H93" s="2339"/>
      <c r="I93" s="2339">
        <v>918000</v>
      </c>
      <c r="J93" s="2340"/>
    </row>
    <row r="94" spans="1:10" s="2333" customFormat="1" ht="15" customHeight="1">
      <c r="A94" s="3115"/>
      <c r="B94" s="3116"/>
      <c r="C94" s="3117"/>
      <c r="D94" s="3118"/>
      <c r="E94" s="2338" t="s">
        <v>554</v>
      </c>
      <c r="F94" s="2339">
        <f t="shared" si="11"/>
        <v>162000</v>
      </c>
      <c r="G94" s="2339">
        <v>162000</v>
      </c>
      <c r="H94" s="2339"/>
      <c r="I94" s="2339"/>
      <c r="J94" s="2340"/>
    </row>
    <row r="95" spans="1:10" s="2333" customFormat="1" ht="15" customHeight="1">
      <c r="A95" s="3115"/>
      <c r="B95" s="3116"/>
      <c r="C95" s="3117"/>
      <c r="D95" s="3118"/>
      <c r="E95" s="2338" t="s">
        <v>692</v>
      </c>
      <c r="F95" s="2339">
        <f t="shared" si="11"/>
        <v>394400</v>
      </c>
      <c r="G95" s="2339"/>
      <c r="H95" s="2339"/>
      <c r="I95" s="2339">
        <v>394400</v>
      </c>
      <c r="J95" s="2340"/>
    </row>
    <row r="96" spans="1:10" s="2333" customFormat="1" ht="15" customHeight="1">
      <c r="A96" s="3115"/>
      <c r="B96" s="3116"/>
      <c r="C96" s="3117"/>
      <c r="D96" s="3118"/>
      <c r="E96" s="2338" t="s">
        <v>693</v>
      </c>
      <c r="F96" s="2339">
        <f t="shared" si="11"/>
        <v>69600</v>
      </c>
      <c r="G96" s="2339">
        <v>69600</v>
      </c>
      <c r="H96" s="2339"/>
      <c r="I96" s="2339"/>
      <c r="J96" s="2340"/>
    </row>
    <row r="97" spans="1:10" s="2333" customFormat="1" ht="15" customHeight="1">
      <c r="A97" s="3115"/>
      <c r="B97" s="3116"/>
      <c r="C97" s="3117"/>
      <c r="D97" s="3118"/>
      <c r="E97" s="2338" t="s">
        <v>694</v>
      </c>
      <c r="F97" s="2339">
        <f t="shared" si="11"/>
        <v>22950</v>
      </c>
      <c r="G97" s="2339"/>
      <c r="H97" s="2339"/>
      <c r="I97" s="2339">
        <v>22950</v>
      </c>
      <c r="J97" s="2340"/>
    </row>
    <row r="98" spans="1:10" s="2333" customFormat="1" ht="15" customHeight="1">
      <c r="A98" s="3115"/>
      <c r="B98" s="3116"/>
      <c r="C98" s="3117"/>
      <c r="D98" s="3118"/>
      <c r="E98" s="2338" t="s">
        <v>695</v>
      </c>
      <c r="F98" s="2339">
        <f t="shared" si="11"/>
        <v>4050</v>
      </c>
      <c r="G98" s="2339">
        <v>4050</v>
      </c>
      <c r="H98" s="2339"/>
      <c r="I98" s="2339"/>
      <c r="J98" s="2340"/>
    </row>
    <row r="99" spans="1:10" s="2333" customFormat="1" ht="15" customHeight="1">
      <c r="A99" s="3115"/>
      <c r="B99" s="3116"/>
      <c r="C99" s="3117"/>
      <c r="D99" s="3118"/>
      <c r="E99" s="2338" t="s">
        <v>557</v>
      </c>
      <c r="F99" s="2339">
        <f t="shared" si="11"/>
        <v>303875</v>
      </c>
      <c r="G99" s="2339"/>
      <c r="H99" s="2339"/>
      <c r="I99" s="2339">
        <v>303875</v>
      </c>
      <c r="J99" s="2340"/>
    </row>
    <row r="100" spans="1:10" s="2333" customFormat="1" ht="15" customHeight="1">
      <c r="A100" s="3115"/>
      <c r="B100" s="3116"/>
      <c r="C100" s="3117"/>
      <c r="D100" s="3118"/>
      <c r="E100" s="2338" t="s">
        <v>558</v>
      </c>
      <c r="F100" s="2339">
        <f t="shared" si="11"/>
        <v>53625</v>
      </c>
      <c r="G100" s="2339">
        <v>53625</v>
      </c>
      <c r="H100" s="2339"/>
      <c r="I100" s="2339"/>
      <c r="J100" s="2340"/>
    </row>
    <row r="101" spans="1:10" s="2333" customFormat="1" ht="15" customHeight="1">
      <c r="A101" s="3115"/>
      <c r="B101" s="3116"/>
      <c r="C101" s="3117"/>
      <c r="D101" s="3118"/>
      <c r="E101" s="2338" t="s">
        <v>675</v>
      </c>
      <c r="F101" s="2339">
        <f t="shared" si="11"/>
        <v>7650</v>
      </c>
      <c r="G101" s="2339"/>
      <c r="H101" s="2339"/>
      <c r="I101" s="2339">
        <v>7650</v>
      </c>
      <c r="J101" s="2340"/>
    </row>
    <row r="102" spans="1:10" s="2333" customFormat="1" ht="15" customHeight="1">
      <c r="A102" s="3115"/>
      <c r="B102" s="3116"/>
      <c r="C102" s="3117"/>
      <c r="D102" s="3118"/>
      <c r="E102" s="2338" t="s">
        <v>648</v>
      </c>
      <c r="F102" s="2339">
        <f t="shared" si="11"/>
        <v>1350</v>
      </c>
      <c r="G102" s="2339">
        <v>1350</v>
      </c>
      <c r="H102" s="2339"/>
      <c r="I102" s="2339"/>
      <c r="J102" s="2340"/>
    </row>
    <row r="103" spans="1:10" s="2333" customFormat="1" ht="15" customHeight="1">
      <c r="A103" s="3115"/>
      <c r="B103" s="3116"/>
      <c r="C103" s="3117"/>
      <c r="D103" s="3118"/>
      <c r="E103" s="2338" t="s">
        <v>559</v>
      </c>
      <c r="F103" s="2339">
        <f t="shared" si="11"/>
        <v>8500</v>
      </c>
      <c r="G103" s="2339"/>
      <c r="H103" s="2339"/>
      <c r="I103" s="2339">
        <v>8500</v>
      </c>
      <c r="J103" s="2340"/>
    </row>
    <row r="104" spans="1:10" s="2333" customFormat="1" ht="15" customHeight="1">
      <c r="A104" s="3115"/>
      <c r="B104" s="3116"/>
      <c r="C104" s="3117"/>
      <c r="D104" s="3118"/>
      <c r="E104" s="2338" t="s">
        <v>560</v>
      </c>
      <c r="F104" s="2339">
        <f t="shared" si="11"/>
        <v>1500</v>
      </c>
      <c r="G104" s="2339">
        <v>1500</v>
      </c>
      <c r="H104" s="2339"/>
      <c r="I104" s="2339"/>
      <c r="J104" s="2340"/>
    </row>
    <row r="105" spans="1:10" s="2333" customFormat="1" ht="15" customHeight="1">
      <c r="A105" s="3115"/>
      <c r="B105" s="3116"/>
      <c r="C105" s="3117"/>
      <c r="D105" s="3118"/>
      <c r="E105" s="2338" t="s">
        <v>561</v>
      </c>
      <c r="F105" s="2339">
        <f t="shared" si="11"/>
        <v>68000</v>
      </c>
      <c r="G105" s="2339"/>
      <c r="H105" s="2339"/>
      <c r="I105" s="2339">
        <v>68000</v>
      </c>
      <c r="J105" s="2340"/>
    </row>
    <row r="106" spans="1:10" s="2333" customFormat="1" ht="15" customHeight="1">
      <c r="A106" s="3115"/>
      <c r="B106" s="3116"/>
      <c r="C106" s="3117"/>
      <c r="D106" s="3118"/>
      <c r="E106" s="2338" t="s">
        <v>562</v>
      </c>
      <c r="F106" s="2339">
        <f t="shared" si="11"/>
        <v>12000</v>
      </c>
      <c r="G106" s="2339">
        <v>12000</v>
      </c>
      <c r="H106" s="2339"/>
      <c r="I106" s="2339"/>
      <c r="J106" s="2340"/>
    </row>
    <row r="107" spans="1:10" s="2333" customFormat="1" ht="15" customHeight="1">
      <c r="A107" s="3115"/>
      <c r="B107" s="3116"/>
      <c r="C107" s="3117"/>
      <c r="D107" s="3118"/>
      <c r="E107" s="2338" t="s">
        <v>650</v>
      </c>
      <c r="F107" s="2339">
        <f t="shared" si="11"/>
        <v>42500</v>
      </c>
      <c r="G107" s="2339"/>
      <c r="H107" s="2339"/>
      <c r="I107" s="2339">
        <v>42500</v>
      </c>
      <c r="J107" s="2340"/>
    </row>
    <row r="108" spans="1:10" s="2333" customFormat="1" ht="15" customHeight="1">
      <c r="A108" s="3115"/>
      <c r="B108" s="3116"/>
      <c r="C108" s="3117"/>
      <c r="D108" s="3118"/>
      <c r="E108" s="2338" t="s">
        <v>651</v>
      </c>
      <c r="F108" s="2339">
        <f t="shared" si="11"/>
        <v>7500</v>
      </c>
      <c r="G108" s="2339">
        <v>7500</v>
      </c>
      <c r="H108" s="2339"/>
      <c r="I108" s="2339"/>
      <c r="J108" s="2340"/>
    </row>
    <row r="109" spans="1:10" s="2333" customFormat="1" ht="15" customHeight="1">
      <c r="A109" s="3115"/>
      <c r="B109" s="3116"/>
      <c r="C109" s="3117"/>
      <c r="D109" s="3118"/>
      <c r="E109" s="2338" t="s">
        <v>700</v>
      </c>
      <c r="F109" s="2339">
        <f t="shared" si="11"/>
        <v>28900</v>
      </c>
      <c r="G109" s="2339"/>
      <c r="H109" s="2339"/>
      <c r="I109" s="2339">
        <v>28900</v>
      </c>
      <c r="J109" s="2340"/>
    </row>
    <row r="110" spans="1:10" s="2333" customFormat="1" ht="15" customHeight="1">
      <c r="A110" s="3115"/>
      <c r="B110" s="3116"/>
      <c r="C110" s="3117"/>
      <c r="D110" s="3118"/>
      <c r="E110" s="2338" t="s">
        <v>701</v>
      </c>
      <c r="F110" s="2339">
        <f t="shared" si="11"/>
        <v>5100</v>
      </c>
      <c r="G110" s="2339">
        <v>5100</v>
      </c>
      <c r="H110" s="2339"/>
      <c r="I110" s="2339"/>
      <c r="J110" s="2340"/>
    </row>
    <row r="111" spans="1:10" s="2333" customFormat="1" ht="15" customHeight="1">
      <c r="A111" s="3115"/>
      <c r="B111" s="3116"/>
      <c r="C111" s="3117"/>
      <c r="D111" s="3118"/>
      <c r="E111" s="2338" t="s">
        <v>702</v>
      </c>
      <c r="F111" s="2339">
        <f t="shared" si="11"/>
        <v>131750</v>
      </c>
      <c r="G111" s="2339"/>
      <c r="H111" s="2339"/>
      <c r="I111" s="2339">
        <v>131750</v>
      </c>
      <c r="J111" s="2340"/>
    </row>
    <row r="112" spans="1:10" s="2333" customFormat="1" ht="15" customHeight="1">
      <c r="A112" s="3115"/>
      <c r="B112" s="3116"/>
      <c r="C112" s="3117"/>
      <c r="D112" s="3118"/>
      <c r="E112" s="2338" t="s">
        <v>703</v>
      </c>
      <c r="F112" s="2339">
        <f t="shared" si="11"/>
        <v>23250</v>
      </c>
      <c r="G112" s="2339">
        <v>23250</v>
      </c>
      <c r="H112" s="2339"/>
      <c r="I112" s="2339"/>
      <c r="J112" s="2340"/>
    </row>
    <row r="113" spans="1:14" s="2333" customFormat="1" ht="15" customHeight="1">
      <c r="A113" s="3115"/>
      <c r="B113" s="3116"/>
      <c r="C113" s="3117"/>
      <c r="D113" s="3118"/>
      <c r="E113" s="2338" t="s">
        <v>565</v>
      </c>
      <c r="F113" s="2339">
        <f t="shared" si="11"/>
        <v>212500</v>
      </c>
      <c r="G113" s="2339"/>
      <c r="H113" s="2339"/>
      <c r="I113" s="2339">
        <v>212500</v>
      </c>
      <c r="J113" s="2340"/>
    </row>
    <row r="114" spans="1:14" s="2333" customFormat="1" ht="15" customHeight="1">
      <c r="A114" s="3115"/>
      <c r="B114" s="3116"/>
      <c r="C114" s="3117"/>
      <c r="D114" s="3118"/>
      <c r="E114" s="2338" t="s">
        <v>566</v>
      </c>
      <c r="F114" s="2339">
        <f t="shared" si="11"/>
        <v>37500</v>
      </c>
      <c r="G114" s="2339">
        <v>37500</v>
      </c>
      <c r="H114" s="2339"/>
      <c r="I114" s="2339"/>
      <c r="J114" s="2340"/>
    </row>
    <row r="115" spans="1:14" s="2333" customFormat="1" ht="15" customHeight="1">
      <c r="A115" s="3115"/>
      <c r="B115" s="3116"/>
      <c r="C115" s="3117"/>
      <c r="D115" s="3118"/>
      <c r="E115" s="2341" t="s">
        <v>1130</v>
      </c>
      <c r="F115" s="2336">
        <f>SUM(F116:F117)</f>
        <v>120000</v>
      </c>
      <c r="G115" s="2336">
        <f>SUM(G116:G117)</f>
        <v>18000</v>
      </c>
      <c r="H115" s="2336">
        <f>SUM(H116:H117)</f>
        <v>0</v>
      </c>
      <c r="I115" s="2336">
        <f>SUM(I116:I117)</f>
        <v>102000</v>
      </c>
      <c r="J115" s="2337">
        <f>SUM(J116:J117)</f>
        <v>0</v>
      </c>
    </row>
    <row r="116" spans="1:14" s="2333" customFormat="1" ht="15" customHeight="1">
      <c r="A116" s="3115"/>
      <c r="B116" s="3116"/>
      <c r="C116" s="3117"/>
      <c r="D116" s="3118"/>
      <c r="E116" s="2338" t="s">
        <v>638</v>
      </c>
      <c r="F116" s="2339">
        <f t="shared" ref="F116:F117" si="12">SUM(G116:J116)</f>
        <v>102000</v>
      </c>
      <c r="G116" s="2339"/>
      <c r="H116" s="2339"/>
      <c r="I116" s="2339">
        <v>102000</v>
      </c>
      <c r="J116" s="2340"/>
    </row>
    <row r="117" spans="1:14" s="2333" customFormat="1" ht="15" customHeight="1">
      <c r="A117" s="3115"/>
      <c r="B117" s="3116"/>
      <c r="C117" s="3117"/>
      <c r="D117" s="3118"/>
      <c r="E117" s="2344">
        <v>6069</v>
      </c>
      <c r="F117" s="2339">
        <f t="shared" si="12"/>
        <v>18000</v>
      </c>
      <c r="G117" s="2339">
        <v>18000</v>
      </c>
      <c r="H117" s="2339"/>
      <c r="I117" s="2339"/>
      <c r="J117" s="2340"/>
    </row>
    <row r="118" spans="1:14" s="2333" customFormat="1" ht="22.5">
      <c r="A118" s="3115" t="s">
        <v>1144</v>
      </c>
      <c r="B118" s="3116" t="s">
        <v>1145</v>
      </c>
      <c r="C118" s="3117">
        <v>750</v>
      </c>
      <c r="D118" s="3118" t="s">
        <v>684</v>
      </c>
      <c r="E118" s="2330" t="s">
        <v>1129</v>
      </c>
      <c r="F118" s="2331">
        <f>SUM(F119,F127)</f>
        <v>55622</v>
      </c>
      <c r="G118" s="2331">
        <f>SUM(G119,G127)</f>
        <v>8344</v>
      </c>
      <c r="H118" s="2331">
        <f>SUM(H119,H127)</f>
        <v>0</v>
      </c>
      <c r="I118" s="2331">
        <f>SUM(I119,I127)</f>
        <v>47278</v>
      </c>
      <c r="J118" s="2332">
        <f>SUM(J119,J127)</f>
        <v>0</v>
      </c>
      <c r="K118" s="2334"/>
    </row>
    <row r="119" spans="1:14" s="2333" customFormat="1" ht="21">
      <c r="A119" s="3115"/>
      <c r="B119" s="3116"/>
      <c r="C119" s="3117"/>
      <c r="D119" s="3118"/>
      <c r="E119" s="2335" t="s">
        <v>1135</v>
      </c>
      <c r="F119" s="2336">
        <f>SUM(F120,F124)</f>
        <v>55622</v>
      </c>
      <c r="G119" s="2336">
        <f>SUM(G120,G124)</f>
        <v>8344</v>
      </c>
      <c r="H119" s="2336">
        <f>SUM(H120,H124)</f>
        <v>0</v>
      </c>
      <c r="I119" s="2336">
        <f>SUM(I120,I124)</f>
        <v>47278</v>
      </c>
      <c r="J119" s="2337">
        <f>SUM(J120,J124)</f>
        <v>0</v>
      </c>
    </row>
    <row r="120" spans="1:14" s="2333" customFormat="1" ht="22.5" hidden="1">
      <c r="A120" s="3115"/>
      <c r="B120" s="3116"/>
      <c r="C120" s="3117"/>
      <c r="D120" s="3118"/>
      <c r="E120" s="2347" t="s">
        <v>1136</v>
      </c>
      <c r="F120" s="2348">
        <f>SUM(F121:F123)</f>
        <v>0</v>
      </c>
      <c r="G120" s="2348">
        <f>SUM(G121:G123)</f>
        <v>0</v>
      </c>
      <c r="H120" s="2348">
        <f>SUM(H121:H123)</f>
        <v>0</v>
      </c>
      <c r="I120" s="2348">
        <f>SUM(I121:I123)</f>
        <v>0</v>
      </c>
      <c r="J120" s="2349">
        <f>SUM(J121:J123)</f>
        <v>0</v>
      </c>
    </row>
    <row r="121" spans="1:14" s="2333" customFormat="1" ht="15" hidden="1" customHeight="1">
      <c r="A121" s="3115"/>
      <c r="B121" s="3116"/>
      <c r="C121" s="3117"/>
      <c r="D121" s="3118"/>
      <c r="E121" s="2338"/>
      <c r="F121" s="2339">
        <f>SUM(G121:J121)</f>
        <v>0</v>
      </c>
      <c r="G121" s="2339"/>
      <c r="H121" s="2339"/>
      <c r="I121" s="2339"/>
      <c r="J121" s="2340"/>
    </row>
    <row r="122" spans="1:14" s="2333" customFormat="1" ht="15" hidden="1" customHeight="1">
      <c r="A122" s="3115"/>
      <c r="B122" s="3116"/>
      <c r="C122" s="3117"/>
      <c r="D122" s="3118"/>
      <c r="E122" s="2338"/>
      <c r="F122" s="2339">
        <f>SUM(G122:J122)</f>
        <v>0</v>
      </c>
      <c r="G122" s="2339"/>
      <c r="H122" s="2339"/>
      <c r="I122" s="2339"/>
      <c r="J122" s="2340"/>
    </row>
    <row r="123" spans="1:14" s="2333" customFormat="1" ht="15" hidden="1" customHeight="1">
      <c r="A123" s="3115"/>
      <c r="B123" s="3116"/>
      <c r="C123" s="3117"/>
      <c r="D123" s="3118"/>
      <c r="E123" s="2338"/>
      <c r="F123" s="2339">
        <f>SUM(G123:J123)</f>
        <v>0</v>
      </c>
      <c r="G123" s="2339"/>
      <c r="H123" s="2339"/>
      <c r="I123" s="2339"/>
      <c r="J123" s="2340"/>
    </row>
    <row r="124" spans="1:14" s="2333" customFormat="1" ht="22.5">
      <c r="A124" s="3115"/>
      <c r="B124" s="3116"/>
      <c r="C124" s="3117"/>
      <c r="D124" s="3118"/>
      <c r="E124" s="2347" t="s">
        <v>1137</v>
      </c>
      <c r="F124" s="2348">
        <f>SUM(F125:F126)</f>
        <v>55622</v>
      </c>
      <c r="G124" s="2348">
        <f>SUM(G125:G126)</f>
        <v>8344</v>
      </c>
      <c r="H124" s="2348">
        <f>SUM(H125:H126)</f>
        <v>0</v>
      </c>
      <c r="I124" s="2348">
        <f>SUM(I125:I126)</f>
        <v>47278</v>
      </c>
      <c r="J124" s="2349">
        <f>SUM(J125:J126)</f>
        <v>0</v>
      </c>
      <c r="K124" s="2334"/>
      <c r="L124" s="2334"/>
      <c r="M124" s="2334"/>
      <c r="N124" s="2334"/>
    </row>
    <row r="125" spans="1:14" s="2333" customFormat="1" ht="15" customHeight="1">
      <c r="A125" s="3115"/>
      <c r="B125" s="3116"/>
      <c r="C125" s="3117"/>
      <c r="D125" s="3118"/>
      <c r="E125" s="2338" t="s">
        <v>557</v>
      </c>
      <c r="F125" s="2339">
        <f>SUM(G125:J125)</f>
        <v>47278</v>
      </c>
      <c r="G125" s="2339"/>
      <c r="H125" s="2339"/>
      <c r="I125" s="2339">
        <v>47278</v>
      </c>
      <c r="J125" s="2340"/>
      <c r="K125" s="2334"/>
      <c r="L125" s="2334"/>
      <c r="M125" s="2334"/>
      <c r="N125" s="2334"/>
    </row>
    <row r="126" spans="1:14" s="2333" customFormat="1" ht="15" customHeight="1">
      <c r="A126" s="3115"/>
      <c r="B126" s="3116"/>
      <c r="C126" s="3117"/>
      <c r="D126" s="3118"/>
      <c r="E126" s="2338" t="s">
        <v>558</v>
      </c>
      <c r="F126" s="2339">
        <f>SUM(G126:J126)</f>
        <v>8344</v>
      </c>
      <c r="G126" s="2339">
        <v>8344</v>
      </c>
      <c r="H126" s="2339"/>
      <c r="I126" s="2339"/>
      <c r="J126" s="2340"/>
      <c r="K126" s="2334"/>
      <c r="L126" s="2334"/>
      <c r="M126" s="2334"/>
      <c r="N126" s="2334"/>
    </row>
    <row r="127" spans="1:14" s="2333" customFormat="1" ht="15" customHeight="1">
      <c r="A127" s="3115"/>
      <c r="B127" s="3116"/>
      <c r="C127" s="3117"/>
      <c r="D127" s="3118"/>
      <c r="E127" s="2341" t="s">
        <v>1130</v>
      </c>
      <c r="F127" s="2336">
        <f>SUM(F128:F129)</f>
        <v>0</v>
      </c>
      <c r="G127" s="2336">
        <f>SUM(G128:G129)</f>
        <v>0</v>
      </c>
      <c r="H127" s="2336">
        <f>SUM(H128:H129)</f>
        <v>0</v>
      </c>
      <c r="I127" s="2336">
        <f>SUM(I128:I129)</f>
        <v>0</v>
      </c>
      <c r="J127" s="2337">
        <f>SUM(J128:J129)</f>
        <v>0</v>
      </c>
    </row>
    <row r="128" spans="1:14" s="2333" customFormat="1" ht="15" hidden="1" customHeight="1">
      <c r="A128" s="3115"/>
      <c r="B128" s="3116"/>
      <c r="C128" s="3117"/>
      <c r="D128" s="3118"/>
      <c r="E128" s="2338"/>
      <c r="F128" s="2339">
        <f>SUM(G128:J128)</f>
        <v>0</v>
      </c>
      <c r="G128" s="2339"/>
      <c r="H128" s="2339"/>
      <c r="I128" s="2339"/>
      <c r="J128" s="2340"/>
    </row>
    <row r="129" spans="1:11" s="2333" customFormat="1" ht="15" hidden="1" customHeight="1">
      <c r="A129" s="3115"/>
      <c r="B129" s="3116"/>
      <c r="C129" s="3117"/>
      <c r="D129" s="3118"/>
      <c r="E129" s="2338"/>
      <c r="F129" s="2339">
        <f>SUM(G129:J129)</f>
        <v>0</v>
      </c>
      <c r="G129" s="2339"/>
      <c r="H129" s="2339"/>
      <c r="I129" s="2339"/>
      <c r="J129" s="2340"/>
    </row>
    <row r="130" spans="1:11" s="2333" customFormat="1" ht="22.5">
      <c r="A130" s="3115" t="s">
        <v>1146</v>
      </c>
      <c r="B130" s="3116" t="s">
        <v>1147</v>
      </c>
      <c r="C130" s="3117">
        <v>750</v>
      </c>
      <c r="D130" s="3118" t="s">
        <v>684</v>
      </c>
      <c r="E130" s="2330" t="s">
        <v>1129</v>
      </c>
      <c r="F130" s="2331">
        <f>SUM(F131,F140)</f>
        <v>400000</v>
      </c>
      <c r="G130" s="2331">
        <f>SUM(G131,G140)</f>
        <v>60000</v>
      </c>
      <c r="H130" s="2331">
        <f>SUM(H131,H140)</f>
        <v>0</v>
      </c>
      <c r="I130" s="2331">
        <f>SUM(I131,I140)</f>
        <v>340000</v>
      </c>
      <c r="J130" s="2332">
        <f>SUM(J131,J140)</f>
        <v>0</v>
      </c>
    </row>
    <row r="131" spans="1:11" s="2333" customFormat="1" ht="21">
      <c r="A131" s="3115"/>
      <c r="B131" s="3116"/>
      <c r="C131" s="3117"/>
      <c r="D131" s="3118"/>
      <c r="E131" s="2335" t="s">
        <v>1135</v>
      </c>
      <c r="F131" s="2336">
        <f>SUM(F132,F135)</f>
        <v>400000</v>
      </c>
      <c r="G131" s="2336">
        <f>SUM(G132,G135)</f>
        <v>60000</v>
      </c>
      <c r="H131" s="2336">
        <f>SUM(H132,H135)</f>
        <v>0</v>
      </c>
      <c r="I131" s="2336">
        <f>SUM(I132,I135)</f>
        <v>340000</v>
      </c>
      <c r="J131" s="2337">
        <f>SUM(J132,J135)</f>
        <v>0</v>
      </c>
    </row>
    <row r="132" spans="1:11" s="2333" customFormat="1" ht="22.5">
      <c r="A132" s="3115"/>
      <c r="B132" s="3116"/>
      <c r="C132" s="3117"/>
      <c r="D132" s="3118"/>
      <c r="E132" s="2347" t="s">
        <v>1136</v>
      </c>
      <c r="F132" s="2348">
        <f>SUM(F133:F134)</f>
        <v>75000</v>
      </c>
      <c r="G132" s="2348">
        <f>SUM(G133:G134)</f>
        <v>11250</v>
      </c>
      <c r="H132" s="2348">
        <f>SUM(H133:H134)</f>
        <v>0</v>
      </c>
      <c r="I132" s="2348">
        <f>SUM(I133:I134)</f>
        <v>63750</v>
      </c>
      <c r="J132" s="2349">
        <f>SUM(J133:J134)</f>
        <v>0</v>
      </c>
      <c r="K132" s="2334"/>
    </row>
    <row r="133" spans="1:11" s="2333" customFormat="1" ht="15" customHeight="1">
      <c r="A133" s="3115"/>
      <c r="B133" s="3116"/>
      <c r="C133" s="3117"/>
      <c r="D133" s="3118"/>
      <c r="E133" s="2338" t="s">
        <v>548</v>
      </c>
      <c r="F133" s="2339">
        <f>SUM(G133:J133)</f>
        <v>63750</v>
      </c>
      <c r="G133" s="2339"/>
      <c r="H133" s="2339"/>
      <c r="I133" s="2339">
        <v>63750</v>
      </c>
      <c r="J133" s="2340"/>
    </row>
    <row r="134" spans="1:11" s="2333" customFormat="1" ht="15" customHeight="1">
      <c r="A134" s="3115"/>
      <c r="B134" s="3116"/>
      <c r="C134" s="3117"/>
      <c r="D134" s="3118"/>
      <c r="E134" s="2338" t="s">
        <v>549</v>
      </c>
      <c r="F134" s="2339">
        <f>SUM(G134:J134)</f>
        <v>11250</v>
      </c>
      <c r="G134" s="2339">
        <v>11250</v>
      </c>
      <c r="H134" s="2339"/>
      <c r="I134" s="2339"/>
      <c r="J134" s="2340"/>
    </row>
    <row r="135" spans="1:11" s="2333" customFormat="1" ht="22.5">
      <c r="A135" s="3115"/>
      <c r="B135" s="3116"/>
      <c r="C135" s="3117"/>
      <c r="D135" s="3118"/>
      <c r="E135" s="2347" t="s">
        <v>1137</v>
      </c>
      <c r="F135" s="2348">
        <f>SUM(F136:F139)</f>
        <v>325000</v>
      </c>
      <c r="G135" s="2348">
        <f>SUM(G136:G139)</f>
        <v>48750</v>
      </c>
      <c r="H135" s="2348">
        <f>SUM(H136:H139)</f>
        <v>0</v>
      </c>
      <c r="I135" s="2348">
        <f>SUM(I136:I139)</f>
        <v>276250</v>
      </c>
      <c r="J135" s="2349">
        <f>SUM(J136:J139)</f>
        <v>0</v>
      </c>
    </row>
    <row r="136" spans="1:11" s="2333" customFormat="1" ht="15" customHeight="1">
      <c r="A136" s="3115"/>
      <c r="B136" s="3116"/>
      <c r="C136" s="3117"/>
      <c r="D136" s="3118"/>
      <c r="E136" s="2338" t="s">
        <v>557</v>
      </c>
      <c r="F136" s="2339">
        <f>SUM(G136:J136)</f>
        <v>17000</v>
      </c>
      <c r="G136" s="2339"/>
      <c r="H136" s="2339"/>
      <c r="I136" s="2339">
        <v>17000</v>
      </c>
      <c r="J136" s="2340"/>
    </row>
    <row r="137" spans="1:11" s="2333" customFormat="1" ht="15" customHeight="1">
      <c r="A137" s="3115"/>
      <c r="B137" s="3116"/>
      <c r="C137" s="3117"/>
      <c r="D137" s="3118"/>
      <c r="E137" s="2338" t="s">
        <v>558</v>
      </c>
      <c r="F137" s="2339">
        <f>SUM(G137:J137)</f>
        <v>3000</v>
      </c>
      <c r="G137" s="2339">
        <v>3000</v>
      </c>
      <c r="H137" s="2339"/>
      <c r="I137" s="2339"/>
      <c r="J137" s="2340"/>
    </row>
    <row r="138" spans="1:11" s="2333" customFormat="1" ht="15" customHeight="1">
      <c r="A138" s="3115"/>
      <c r="B138" s="3116"/>
      <c r="C138" s="3117"/>
      <c r="D138" s="3118"/>
      <c r="E138" s="2338" t="s">
        <v>559</v>
      </c>
      <c r="F138" s="2339">
        <f>SUM(G138:J138)</f>
        <v>259250</v>
      </c>
      <c r="G138" s="2339"/>
      <c r="H138" s="2339"/>
      <c r="I138" s="2339">
        <v>259250</v>
      </c>
      <c r="J138" s="2340"/>
    </row>
    <row r="139" spans="1:11" s="2333" customFormat="1" ht="15" customHeight="1">
      <c r="A139" s="3115"/>
      <c r="B139" s="3116"/>
      <c r="C139" s="3117"/>
      <c r="D139" s="3118"/>
      <c r="E139" s="2338" t="s">
        <v>560</v>
      </c>
      <c r="F139" s="2339">
        <f>SUM(G139:J139)</f>
        <v>45750</v>
      </c>
      <c r="G139" s="2339">
        <v>45750</v>
      </c>
      <c r="H139" s="2339"/>
      <c r="I139" s="2339"/>
      <c r="J139" s="2340"/>
    </row>
    <row r="140" spans="1:11" s="2333" customFormat="1" ht="15" customHeight="1">
      <c r="A140" s="3115"/>
      <c r="B140" s="3116"/>
      <c r="C140" s="3117"/>
      <c r="D140" s="3118"/>
      <c r="E140" s="2341" t="s">
        <v>1130</v>
      </c>
      <c r="F140" s="2336">
        <f>SUM(F141:F142)</f>
        <v>0</v>
      </c>
      <c r="G140" s="2336">
        <f>SUM(G141:G142)</f>
        <v>0</v>
      </c>
      <c r="H140" s="2336">
        <f>SUM(H141:H142)</f>
        <v>0</v>
      </c>
      <c r="I140" s="2336">
        <f>SUM(I141:I142)</f>
        <v>0</v>
      </c>
      <c r="J140" s="2337">
        <f>SUM(J141:J142)</f>
        <v>0</v>
      </c>
    </row>
    <row r="141" spans="1:11" s="2333" customFormat="1" ht="15" hidden="1" customHeight="1">
      <c r="A141" s="3115"/>
      <c r="B141" s="3116"/>
      <c r="C141" s="3117"/>
      <c r="D141" s="3118"/>
      <c r="E141" s="2338"/>
      <c r="F141" s="2339">
        <f>SUM(G141:J141)</f>
        <v>0</v>
      </c>
      <c r="G141" s="2339"/>
      <c r="H141" s="2339"/>
      <c r="I141" s="2339"/>
      <c r="J141" s="2340"/>
    </row>
    <row r="142" spans="1:11" s="2333" customFormat="1" ht="15" hidden="1" customHeight="1">
      <c r="A142" s="3115"/>
      <c r="B142" s="3116"/>
      <c r="C142" s="3117"/>
      <c r="D142" s="3118"/>
      <c r="E142" s="2344"/>
      <c r="F142" s="2339">
        <f>SUM(G142:J142)</f>
        <v>0</v>
      </c>
      <c r="G142" s="2339"/>
      <c r="H142" s="2339"/>
      <c r="I142" s="2339"/>
      <c r="J142" s="2340"/>
    </row>
    <row r="143" spans="1:11" s="2333" customFormat="1" ht="22.5">
      <c r="A143" s="3130" t="s">
        <v>1148</v>
      </c>
      <c r="B143" s="3133" t="s">
        <v>1149</v>
      </c>
      <c r="C143" s="3136">
        <v>150</v>
      </c>
      <c r="D143" s="3139" t="s">
        <v>253</v>
      </c>
      <c r="E143" s="2330" t="s">
        <v>1129</v>
      </c>
      <c r="F143" s="2331">
        <f>SUM(F144,F158)</f>
        <v>12045633</v>
      </c>
      <c r="G143" s="2331">
        <f>SUM(G144,G158)</f>
        <v>0</v>
      </c>
      <c r="H143" s="2331">
        <f>SUM(H144,H158)</f>
        <v>12045633</v>
      </c>
      <c r="I143" s="2331">
        <f>SUM(I144,I158)</f>
        <v>0</v>
      </c>
      <c r="J143" s="2332">
        <f>SUM(J144,J158)</f>
        <v>0</v>
      </c>
    </row>
    <row r="144" spans="1:11" s="2333" customFormat="1" ht="21">
      <c r="A144" s="3131"/>
      <c r="B144" s="3134"/>
      <c r="C144" s="3137"/>
      <c r="D144" s="3140"/>
      <c r="E144" s="2335" t="s">
        <v>1135</v>
      </c>
      <c r="F144" s="2336">
        <f>SUM(F145,F147,F149,F154)</f>
        <v>12045633</v>
      </c>
      <c r="G144" s="2336">
        <f t="shared" ref="G144:J144" si="13">SUM(G145,G147,G149,G154)</f>
        <v>0</v>
      </c>
      <c r="H144" s="2336">
        <f t="shared" si="13"/>
        <v>12045633</v>
      </c>
      <c r="I144" s="2336">
        <f t="shared" si="13"/>
        <v>0</v>
      </c>
      <c r="J144" s="2337">
        <f t="shared" si="13"/>
        <v>0</v>
      </c>
    </row>
    <row r="145" spans="1:11" s="2333" customFormat="1" ht="15" customHeight="1">
      <c r="A145" s="3131"/>
      <c r="B145" s="3134"/>
      <c r="C145" s="3137"/>
      <c r="D145" s="3140"/>
      <c r="E145" s="2347" t="s">
        <v>1150</v>
      </c>
      <c r="F145" s="2348">
        <f>SUM(F146:F146)</f>
        <v>692400</v>
      </c>
      <c r="G145" s="2348">
        <f>SUM(G146:G146)</f>
        <v>0</v>
      </c>
      <c r="H145" s="2348">
        <f>SUM(H146:H146)</f>
        <v>692400</v>
      </c>
      <c r="I145" s="2348">
        <f>SUM(I146:I146)</f>
        <v>0</v>
      </c>
      <c r="J145" s="2349">
        <f>SUM(J146:J146)</f>
        <v>0</v>
      </c>
    </row>
    <row r="146" spans="1:11" s="2333" customFormat="1" ht="15" customHeight="1">
      <c r="A146" s="3131"/>
      <c r="B146" s="3134"/>
      <c r="C146" s="3137"/>
      <c r="D146" s="3140"/>
      <c r="E146" s="2338" t="s">
        <v>427</v>
      </c>
      <c r="F146" s="2339">
        <f>SUM(G146:J146)</f>
        <v>692400</v>
      </c>
      <c r="G146" s="2339"/>
      <c r="H146" s="2339">
        <v>692400</v>
      </c>
      <c r="I146" s="2339"/>
      <c r="J146" s="2340"/>
      <c r="K146" s="2334"/>
    </row>
    <row r="147" spans="1:11" s="2333" customFormat="1" ht="22.5">
      <c r="A147" s="3131"/>
      <c r="B147" s="3134"/>
      <c r="C147" s="3137"/>
      <c r="D147" s="3140"/>
      <c r="E147" s="2347" t="s">
        <v>1151</v>
      </c>
      <c r="F147" s="2348">
        <f>SUM(F148:F148)</f>
        <v>10717000</v>
      </c>
      <c r="G147" s="2348">
        <f>SUM(G148:G148)</f>
        <v>0</v>
      </c>
      <c r="H147" s="2348">
        <f>SUM(H148:H148)</f>
        <v>10717000</v>
      </c>
      <c r="I147" s="2348">
        <f>SUM(I148:I148)</f>
        <v>0</v>
      </c>
      <c r="J147" s="2349">
        <f>SUM(J148:J148)</f>
        <v>0</v>
      </c>
    </row>
    <row r="148" spans="1:11" s="2333" customFormat="1" ht="15" customHeight="1">
      <c r="A148" s="3131"/>
      <c r="B148" s="3134"/>
      <c r="C148" s="3137"/>
      <c r="D148" s="3140"/>
      <c r="E148" s="2338" t="s">
        <v>427</v>
      </c>
      <c r="F148" s="2339">
        <f>SUM(G148:J148)</f>
        <v>10717000</v>
      </c>
      <c r="G148" s="2339"/>
      <c r="H148" s="2339">
        <v>10717000</v>
      </c>
      <c r="I148" s="2339"/>
      <c r="J148" s="2340"/>
      <c r="K148" s="2334"/>
    </row>
    <row r="149" spans="1:11" s="2333" customFormat="1" ht="22.5">
      <c r="A149" s="3131"/>
      <c r="B149" s="3134"/>
      <c r="C149" s="3137"/>
      <c r="D149" s="3140"/>
      <c r="E149" s="2347" t="s">
        <v>1136</v>
      </c>
      <c r="F149" s="2348">
        <f>SUM(F150:F153)</f>
        <v>320000</v>
      </c>
      <c r="G149" s="2348">
        <f>SUM(G150:G153)</f>
        <v>0</v>
      </c>
      <c r="H149" s="2348">
        <f>SUM(H150:H153)</f>
        <v>320000</v>
      </c>
      <c r="I149" s="2348">
        <f>SUM(I150:I153)</f>
        <v>0</v>
      </c>
      <c r="J149" s="2349">
        <f>SUM(J150:J153)</f>
        <v>0</v>
      </c>
    </row>
    <row r="150" spans="1:11" s="2333" customFormat="1" ht="15" customHeight="1">
      <c r="A150" s="3131"/>
      <c r="B150" s="3134"/>
      <c r="C150" s="3137"/>
      <c r="D150" s="3140"/>
      <c r="E150" s="2338" t="s">
        <v>596</v>
      </c>
      <c r="F150" s="2339">
        <f>SUM(G150:J150)</f>
        <v>247469</v>
      </c>
      <c r="G150" s="2339"/>
      <c r="H150" s="2339">
        <v>247469</v>
      </c>
      <c r="I150" s="2339"/>
      <c r="J150" s="2340"/>
    </row>
    <row r="151" spans="1:11" s="2333" customFormat="1" ht="15" customHeight="1">
      <c r="A151" s="3131"/>
      <c r="B151" s="3134"/>
      <c r="C151" s="3137"/>
      <c r="D151" s="3140"/>
      <c r="E151" s="2338" t="s">
        <v>597</v>
      </c>
      <c r="F151" s="2339">
        <f>SUM(G151:J151)</f>
        <v>20000</v>
      </c>
      <c r="G151" s="2339"/>
      <c r="H151" s="2339">
        <v>20000</v>
      </c>
      <c r="I151" s="2339"/>
      <c r="J151" s="2340"/>
    </row>
    <row r="152" spans="1:11" s="2333" customFormat="1" ht="15" customHeight="1">
      <c r="A152" s="3131"/>
      <c r="B152" s="3134"/>
      <c r="C152" s="3137"/>
      <c r="D152" s="3140"/>
      <c r="E152" s="2338" t="s">
        <v>598</v>
      </c>
      <c r="F152" s="2339">
        <f t="shared" ref="F152:F153" si="14">SUM(G152:J152)</f>
        <v>45978</v>
      </c>
      <c r="G152" s="2339"/>
      <c r="H152" s="2339">
        <v>45978</v>
      </c>
      <c r="I152" s="2339"/>
      <c r="J152" s="2340"/>
    </row>
    <row r="153" spans="1:11" s="2333" customFormat="1" ht="15" customHeight="1">
      <c r="A153" s="3131"/>
      <c r="B153" s="3134"/>
      <c r="C153" s="3137"/>
      <c r="D153" s="3140"/>
      <c r="E153" s="2338" t="s">
        <v>599</v>
      </c>
      <c r="F153" s="2339">
        <f t="shared" si="14"/>
        <v>6553</v>
      </c>
      <c r="G153" s="2339"/>
      <c r="H153" s="2339">
        <v>6553</v>
      </c>
      <c r="I153" s="2339"/>
      <c r="J153" s="2340"/>
    </row>
    <row r="154" spans="1:11" s="2333" customFormat="1" ht="22.5">
      <c r="A154" s="3131"/>
      <c r="B154" s="3134"/>
      <c r="C154" s="3137"/>
      <c r="D154" s="3140"/>
      <c r="E154" s="2347" t="s">
        <v>1137</v>
      </c>
      <c r="F154" s="2348">
        <f>SUM(F155:F157)</f>
        <v>316233</v>
      </c>
      <c r="G154" s="2348">
        <f>SUM(G155:G157)</f>
        <v>0</v>
      </c>
      <c r="H154" s="2348">
        <f>SUM(H155:H157)</f>
        <v>316233</v>
      </c>
      <c r="I154" s="2348">
        <f>SUM(I155:I157)</f>
        <v>0</v>
      </c>
      <c r="J154" s="2349">
        <f>SUM(J155:J157)</f>
        <v>0</v>
      </c>
    </row>
    <row r="155" spans="1:11" s="2333" customFormat="1" ht="15" hidden="1" customHeight="1">
      <c r="A155" s="3131"/>
      <c r="B155" s="3134"/>
      <c r="C155" s="3137"/>
      <c r="D155" s="3140"/>
      <c r="E155" s="2338" t="s">
        <v>600</v>
      </c>
      <c r="F155" s="2339">
        <f t="shared" ref="F155:F157" si="15">SUM(G155:J155)</f>
        <v>0</v>
      </c>
      <c r="G155" s="2339"/>
      <c r="H155" s="2339">
        <v>0</v>
      </c>
      <c r="I155" s="2339"/>
      <c r="J155" s="2340"/>
    </row>
    <row r="156" spans="1:11" s="2333" customFormat="1" ht="15" customHeight="1">
      <c r="A156" s="3131"/>
      <c r="B156" s="3134"/>
      <c r="C156" s="3137"/>
      <c r="D156" s="3140"/>
      <c r="E156" s="2338" t="s">
        <v>601</v>
      </c>
      <c r="F156" s="2339">
        <f t="shared" si="15"/>
        <v>316233</v>
      </c>
      <c r="G156" s="2339"/>
      <c r="H156" s="2339">
        <v>316233</v>
      </c>
      <c r="I156" s="2339"/>
      <c r="J156" s="2340"/>
    </row>
    <row r="157" spans="1:11" s="2333" customFormat="1" ht="15" hidden="1" customHeight="1">
      <c r="A157" s="3131"/>
      <c r="B157" s="3134"/>
      <c r="C157" s="3137"/>
      <c r="D157" s="3140"/>
      <c r="E157" s="2338" t="s">
        <v>676</v>
      </c>
      <c r="F157" s="2339">
        <f t="shared" si="15"/>
        <v>0</v>
      </c>
      <c r="G157" s="2339"/>
      <c r="H157" s="2339">
        <v>0</v>
      </c>
      <c r="I157" s="2339"/>
      <c r="J157" s="2340"/>
    </row>
    <row r="158" spans="1:11" s="2333" customFormat="1" ht="15" customHeight="1">
      <c r="A158" s="3132"/>
      <c r="B158" s="3135"/>
      <c r="C158" s="3138"/>
      <c r="D158" s="3141"/>
      <c r="E158" s="2341" t="s">
        <v>1130</v>
      </c>
      <c r="F158" s="2336">
        <f>SUM(F159:F161)</f>
        <v>0</v>
      </c>
      <c r="G158" s="2336">
        <f t="shared" ref="G158:J158" si="16">SUM(G159:G161)</f>
        <v>0</v>
      </c>
      <c r="H158" s="2336">
        <f t="shared" si="16"/>
        <v>0</v>
      </c>
      <c r="I158" s="2336">
        <f t="shared" si="16"/>
        <v>0</v>
      </c>
      <c r="J158" s="2337">
        <f t="shared" si="16"/>
        <v>0</v>
      </c>
    </row>
    <row r="159" spans="1:11" s="2333" customFormat="1" ht="15" hidden="1" customHeight="1">
      <c r="A159" s="2350"/>
      <c r="B159" s="2351"/>
      <c r="C159" s="2352"/>
      <c r="D159" s="2353"/>
      <c r="E159" s="2354"/>
      <c r="F159" s="2355">
        <f>SUM(G159:J159)</f>
        <v>0</v>
      </c>
      <c r="G159" s="2355"/>
      <c r="H159" s="2355"/>
      <c r="I159" s="2355"/>
      <c r="J159" s="2356"/>
    </row>
    <row r="160" spans="1:11" s="2333" customFormat="1" ht="15" hidden="1" customHeight="1">
      <c r="A160" s="2350"/>
      <c r="B160" s="2351"/>
      <c r="C160" s="2352"/>
      <c r="D160" s="2353"/>
      <c r="E160" s="2354"/>
      <c r="F160" s="2355">
        <f>SUM(G160:J160)</f>
        <v>0</v>
      </c>
      <c r="G160" s="2355"/>
      <c r="H160" s="2355"/>
      <c r="I160" s="2355"/>
      <c r="J160" s="2356"/>
    </row>
    <row r="161" spans="1:11" s="2333" customFormat="1" ht="15" hidden="1" customHeight="1">
      <c r="A161" s="2350"/>
      <c r="B161" s="2351"/>
      <c r="C161" s="2352"/>
      <c r="D161" s="2353"/>
      <c r="E161" s="2354"/>
      <c r="F161" s="2355">
        <f>SUM(G161:J161)</f>
        <v>0</v>
      </c>
      <c r="G161" s="2355"/>
      <c r="H161" s="2355"/>
      <c r="I161" s="2355"/>
      <c r="J161" s="2356"/>
    </row>
    <row r="162" spans="1:11" s="2333" customFormat="1" ht="22.5">
      <c r="A162" s="3115" t="s">
        <v>1152</v>
      </c>
      <c r="B162" s="3116" t="s">
        <v>1153</v>
      </c>
      <c r="C162" s="3136">
        <v>710</v>
      </c>
      <c r="D162" s="3139" t="s">
        <v>665</v>
      </c>
      <c r="E162" s="2330" t="s">
        <v>1129</v>
      </c>
      <c r="F162" s="2331">
        <f>SUM(F163,F168)</f>
        <v>51752334</v>
      </c>
      <c r="G162" s="2331">
        <f>SUM(G163,G168)</f>
        <v>1793636</v>
      </c>
      <c r="H162" s="2331">
        <f>SUM(H163,H168)</f>
        <v>49958698</v>
      </c>
      <c r="I162" s="2331">
        <f>SUM(I163,I168)</f>
        <v>0</v>
      </c>
      <c r="J162" s="2332">
        <f>SUM(J163,J168)</f>
        <v>0</v>
      </c>
    </row>
    <row r="163" spans="1:11" s="2333" customFormat="1" ht="21">
      <c r="A163" s="3115"/>
      <c r="B163" s="3116"/>
      <c r="C163" s="3137"/>
      <c r="D163" s="3140"/>
      <c r="E163" s="2335" t="s">
        <v>1135</v>
      </c>
      <c r="F163" s="2336">
        <f>SUM(F164,F166)</f>
        <v>11169431</v>
      </c>
      <c r="G163" s="2336">
        <f>SUM(G164,G166)</f>
        <v>0</v>
      </c>
      <c r="H163" s="2336">
        <f>SUM(H164,H166)</f>
        <v>11169431</v>
      </c>
      <c r="I163" s="2336">
        <f>SUM(I164,I166)</f>
        <v>0</v>
      </c>
      <c r="J163" s="2337">
        <f>SUM(J164,J166)</f>
        <v>0</v>
      </c>
    </row>
    <row r="164" spans="1:11" s="2333" customFormat="1" ht="15" customHeight="1">
      <c r="A164" s="3115"/>
      <c r="B164" s="3116"/>
      <c r="C164" s="3137"/>
      <c r="D164" s="3140"/>
      <c r="E164" s="2347" t="s">
        <v>1150</v>
      </c>
      <c r="F164" s="2348">
        <f>SUM(F165:F165)</f>
        <v>11169431</v>
      </c>
      <c r="G164" s="2348">
        <f>SUM(G165:G165)</f>
        <v>0</v>
      </c>
      <c r="H164" s="2348">
        <f>SUM(H165:H165)</f>
        <v>11169431</v>
      </c>
      <c r="I164" s="2348">
        <f>SUM(I165:I165)</f>
        <v>0</v>
      </c>
      <c r="J164" s="2349">
        <f>SUM(J165:J165)</f>
        <v>0</v>
      </c>
    </row>
    <row r="165" spans="1:11" s="2333" customFormat="1" ht="15" customHeight="1">
      <c r="A165" s="3115"/>
      <c r="B165" s="3116"/>
      <c r="C165" s="3137"/>
      <c r="D165" s="3140"/>
      <c r="E165" s="2338" t="s">
        <v>381</v>
      </c>
      <c r="F165" s="2339">
        <f>SUM(G165:J165)</f>
        <v>11169431</v>
      </c>
      <c r="G165" s="2339"/>
      <c r="H165" s="2339">
        <v>11169431</v>
      </c>
      <c r="I165" s="2339"/>
      <c r="J165" s="2340"/>
    </row>
    <row r="166" spans="1:11" s="2333" customFormat="1" ht="22.5" hidden="1">
      <c r="A166" s="3115"/>
      <c r="B166" s="3116"/>
      <c r="C166" s="3137"/>
      <c r="D166" s="3140"/>
      <c r="E166" s="2347" t="s">
        <v>1137</v>
      </c>
      <c r="F166" s="2348">
        <f>SUM(F167:F167)</f>
        <v>0</v>
      </c>
      <c r="G166" s="2348">
        <f>SUM(G167:G167)</f>
        <v>0</v>
      </c>
      <c r="H166" s="2348">
        <f>SUM(H167:H167)</f>
        <v>0</v>
      </c>
      <c r="I166" s="2348">
        <f>SUM(I167:I167)</f>
        <v>0</v>
      </c>
      <c r="J166" s="2349">
        <f>SUM(J167:J167)</f>
        <v>0</v>
      </c>
    </row>
    <row r="167" spans="1:11" s="2333" customFormat="1" ht="15" hidden="1" customHeight="1">
      <c r="A167" s="3115"/>
      <c r="B167" s="3116"/>
      <c r="C167" s="3138"/>
      <c r="D167" s="3141"/>
      <c r="E167" s="2338"/>
      <c r="F167" s="2339">
        <f>SUM(G167:J167)</f>
        <v>0</v>
      </c>
      <c r="G167" s="2339"/>
      <c r="H167" s="2339"/>
      <c r="I167" s="2339"/>
      <c r="J167" s="2340"/>
    </row>
    <row r="168" spans="1:11" s="2333" customFormat="1" ht="15" customHeight="1">
      <c r="A168" s="3115"/>
      <c r="B168" s="3116"/>
      <c r="C168" s="3136">
        <v>720</v>
      </c>
      <c r="D168" s="3139" t="s">
        <v>669</v>
      </c>
      <c r="E168" s="2341" t="s">
        <v>1130</v>
      </c>
      <c r="F168" s="2336">
        <f>SUM(F169:F173)</f>
        <v>40582903</v>
      </c>
      <c r="G168" s="2336">
        <f>SUM(G169:G173)</f>
        <v>1793636</v>
      </c>
      <c r="H168" s="2336">
        <f>SUM(H169:H173)</f>
        <v>38789267</v>
      </c>
      <c r="I168" s="2336">
        <f>SUM(I169:I173)</f>
        <v>0</v>
      </c>
      <c r="J168" s="2337">
        <f>SUM(J169:J173)</f>
        <v>0</v>
      </c>
      <c r="K168" s="2334"/>
    </row>
    <row r="169" spans="1:11" s="2333" customFormat="1" ht="15" hidden="1" customHeight="1">
      <c r="A169" s="3115"/>
      <c r="B169" s="3116"/>
      <c r="C169" s="3137"/>
      <c r="D169" s="3140"/>
      <c r="E169" s="2338" t="s">
        <v>531</v>
      </c>
      <c r="F169" s="2339">
        <f>SUM(G169:J169)</f>
        <v>0</v>
      </c>
      <c r="G169" s="2339"/>
      <c r="H169" s="2339"/>
      <c r="I169" s="2339"/>
      <c r="J169" s="2340"/>
      <c r="K169" s="2334"/>
    </row>
    <row r="170" spans="1:11" s="2333" customFormat="1" ht="15" customHeight="1">
      <c r="A170" s="3115"/>
      <c r="B170" s="3116"/>
      <c r="C170" s="3137"/>
      <c r="D170" s="3140"/>
      <c r="E170" s="2338" t="s">
        <v>625</v>
      </c>
      <c r="F170" s="2339">
        <f>SUM(G170:J170)</f>
        <v>10163941</v>
      </c>
      <c r="G170" s="2339"/>
      <c r="H170" s="2339">
        <v>10163941</v>
      </c>
      <c r="I170" s="2339"/>
      <c r="J170" s="2340"/>
      <c r="K170" s="2334"/>
    </row>
    <row r="171" spans="1:11" s="2333" customFormat="1" ht="15" customHeight="1">
      <c r="A171" s="3115"/>
      <c r="B171" s="3116"/>
      <c r="C171" s="3137"/>
      <c r="D171" s="3140"/>
      <c r="E171" s="2344">
        <v>6059</v>
      </c>
      <c r="F171" s="2339">
        <f>SUM(G171:J171)</f>
        <v>1793636</v>
      </c>
      <c r="G171" s="2339">
        <v>1793636</v>
      </c>
      <c r="H171" s="2339"/>
      <c r="I171" s="2339"/>
      <c r="J171" s="2340"/>
    </row>
    <row r="172" spans="1:11" s="2333" customFormat="1" ht="15" customHeight="1">
      <c r="A172" s="3115"/>
      <c r="B172" s="3116"/>
      <c r="C172" s="3137"/>
      <c r="D172" s="3140"/>
      <c r="E172" s="2344">
        <v>6257</v>
      </c>
      <c r="F172" s="2339">
        <f>SUM(G172:J172)</f>
        <v>28625326</v>
      </c>
      <c r="G172" s="2339"/>
      <c r="H172" s="2339">
        <v>28625326</v>
      </c>
      <c r="I172" s="2339"/>
      <c r="J172" s="2340"/>
    </row>
    <row r="173" spans="1:11" s="2333" customFormat="1" ht="15" hidden="1" customHeight="1">
      <c r="A173" s="3115"/>
      <c r="B173" s="3116"/>
      <c r="C173" s="3138"/>
      <c r="D173" s="3141"/>
      <c r="E173" s="2344"/>
      <c r="F173" s="2339">
        <f>SUM(G173:J173)</f>
        <v>0</v>
      </c>
      <c r="G173" s="2339"/>
      <c r="H173" s="2339"/>
      <c r="I173" s="2339"/>
      <c r="J173" s="2340"/>
    </row>
    <row r="174" spans="1:11" s="2333" customFormat="1" ht="22.5">
      <c r="A174" s="3115" t="s">
        <v>1154</v>
      </c>
      <c r="B174" s="3116" t="s">
        <v>1155</v>
      </c>
      <c r="C174" s="3117">
        <v>730</v>
      </c>
      <c r="D174" s="3118" t="s">
        <v>672</v>
      </c>
      <c r="E174" s="2330" t="s">
        <v>1129</v>
      </c>
      <c r="F174" s="2331">
        <f>SUM(F175,F190)</f>
        <v>922000</v>
      </c>
      <c r="G174" s="2331">
        <f>SUM(G175,G190)</f>
        <v>0</v>
      </c>
      <c r="H174" s="2331">
        <f>SUM(H175,H190)</f>
        <v>922000</v>
      </c>
      <c r="I174" s="2331">
        <f>SUM(I175,I190)</f>
        <v>0</v>
      </c>
      <c r="J174" s="2332">
        <f>SUM(J175,J190)</f>
        <v>0</v>
      </c>
    </row>
    <row r="175" spans="1:11" s="2333" customFormat="1" ht="21">
      <c r="A175" s="3115"/>
      <c r="B175" s="3116"/>
      <c r="C175" s="3117"/>
      <c r="D175" s="3118"/>
      <c r="E175" s="2335" t="s">
        <v>1135</v>
      </c>
      <c r="F175" s="2336">
        <f>SUM(F176,F181)</f>
        <v>910000</v>
      </c>
      <c r="G175" s="2336">
        <f>SUM(G176,G181)</f>
        <v>0</v>
      </c>
      <c r="H175" s="2336">
        <f>SUM(H176,H181)</f>
        <v>910000</v>
      </c>
      <c r="I175" s="2336">
        <f>SUM(I176,I181)</f>
        <v>0</v>
      </c>
      <c r="J175" s="2337">
        <f>SUM(J176,J181)</f>
        <v>0</v>
      </c>
    </row>
    <row r="176" spans="1:11" s="2333" customFormat="1" ht="22.5">
      <c r="A176" s="3115"/>
      <c r="B176" s="3116"/>
      <c r="C176" s="3117"/>
      <c r="D176" s="3118"/>
      <c r="E176" s="2347" t="s">
        <v>1136</v>
      </c>
      <c r="F176" s="2348">
        <f>SUM(F177:F180)</f>
        <v>560000</v>
      </c>
      <c r="G176" s="2348">
        <f>SUM(G177:G180)</f>
        <v>0</v>
      </c>
      <c r="H176" s="2348">
        <f>SUM(H177:H180)</f>
        <v>560000</v>
      </c>
      <c r="I176" s="2348">
        <f>SUM(I177:I180)</f>
        <v>0</v>
      </c>
      <c r="J176" s="2349">
        <f>SUM(J177:J180)</f>
        <v>0</v>
      </c>
    </row>
    <row r="177" spans="1:10" s="2333" customFormat="1" ht="15" customHeight="1">
      <c r="A177" s="3115"/>
      <c r="B177" s="3116"/>
      <c r="C177" s="3117"/>
      <c r="D177" s="3118"/>
      <c r="E177" s="2338" t="s">
        <v>596</v>
      </c>
      <c r="F177" s="2339">
        <f>SUM(G177:J177)</f>
        <v>300423</v>
      </c>
      <c r="G177" s="2339"/>
      <c r="H177" s="2339">
        <v>300423</v>
      </c>
      <c r="I177" s="2339"/>
      <c r="J177" s="2340"/>
    </row>
    <row r="178" spans="1:10" s="2333" customFormat="1" ht="15" customHeight="1">
      <c r="A178" s="3115"/>
      <c r="B178" s="3116"/>
      <c r="C178" s="3117"/>
      <c r="D178" s="3118"/>
      <c r="E178" s="2338" t="s">
        <v>598</v>
      </c>
      <c r="F178" s="2339">
        <f t="shared" ref="F178" si="17">SUM(G178:J178)</f>
        <v>52215</v>
      </c>
      <c r="G178" s="2339"/>
      <c r="H178" s="2339">
        <v>52215</v>
      </c>
      <c r="I178" s="2339"/>
      <c r="J178" s="2340"/>
    </row>
    <row r="179" spans="1:10" s="2333" customFormat="1" ht="15" customHeight="1">
      <c r="A179" s="3115"/>
      <c r="B179" s="3116"/>
      <c r="C179" s="3117"/>
      <c r="D179" s="3118"/>
      <c r="E179" s="2338" t="s">
        <v>599</v>
      </c>
      <c r="F179" s="2339">
        <f>SUM(G179:J179)</f>
        <v>7362</v>
      </c>
      <c r="G179" s="2339"/>
      <c r="H179" s="2339">
        <v>7362</v>
      </c>
      <c r="I179" s="2339"/>
      <c r="J179" s="2340"/>
    </row>
    <row r="180" spans="1:10" s="2333" customFormat="1" ht="15" customHeight="1">
      <c r="A180" s="3115"/>
      <c r="B180" s="3116"/>
      <c r="C180" s="3117"/>
      <c r="D180" s="3118"/>
      <c r="E180" s="2338" t="s">
        <v>673</v>
      </c>
      <c r="F180" s="2339">
        <f>SUM(G180:J180)</f>
        <v>200000</v>
      </c>
      <c r="G180" s="2339"/>
      <c r="H180" s="2339">
        <v>200000</v>
      </c>
      <c r="I180" s="2339"/>
      <c r="J180" s="2340"/>
    </row>
    <row r="181" spans="1:10" s="2333" customFormat="1" ht="22.5">
      <c r="A181" s="3115"/>
      <c r="B181" s="3116"/>
      <c r="C181" s="3117"/>
      <c r="D181" s="3118"/>
      <c r="E181" s="2347" t="s">
        <v>1137</v>
      </c>
      <c r="F181" s="2348">
        <f>SUM(F182:F189)</f>
        <v>350000</v>
      </c>
      <c r="G181" s="2348">
        <f>SUM(G182:G189)</f>
        <v>0</v>
      </c>
      <c r="H181" s="2348">
        <f>SUM(H182:H189)</f>
        <v>350000</v>
      </c>
      <c r="I181" s="2348">
        <f>SUM(I182:I189)</f>
        <v>0</v>
      </c>
      <c r="J181" s="2349">
        <f>SUM(J182:J189)</f>
        <v>0</v>
      </c>
    </row>
    <row r="182" spans="1:10" s="2333" customFormat="1" ht="15" hidden="1" customHeight="1">
      <c r="A182" s="3115"/>
      <c r="B182" s="3116"/>
      <c r="C182" s="3117"/>
      <c r="D182" s="3118"/>
      <c r="E182" s="2338" t="s">
        <v>600</v>
      </c>
      <c r="F182" s="2339">
        <f t="shared" ref="F182:F184" si="18">SUM(G182:J182)</f>
        <v>0</v>
      </c>
      <c r="G182" s="2339"/>
      <c r="H182" s="2339"/>
      <c r="I182" s="2339"/>
      <c r="J182" s="2340"/>
    </row>
    <row r="183" spans="1:10" s="2333" customFormat="1" ht="15" customHeight="1">
      <c r="A183" s="3115"/>
      <c r="B183" s="3116"/>
      <c r="C183" s="3117"/>
      <c r="D183" s="3118"/>
      <c r="E183" s="2338" t="s">
        <v>601</v>
      </c>
      <c r="F183" s="2339">
        <f t="shared" si="18"/>
        <v>220000</v>
      </c>
      <c r="G183" s="2339"/>
      <c r="H183" s="2339">
        <v>220000</v>
      </c>
      <c r="I183" s="2339"/>
      <c r="J183" s="2340"/>
    </row>
    <row r="184" spans="1:10" s="2333" customFormat="1" ht="15" customHeight="1">
      <c r="A184" s="3115"/>
      <c r="B184" s="3116"/>
      <c r="C184" s="3117"/>
      <c r="D184" s="3118"/>
      <c r="E184" s="2338" t="s">
        <v>602</v>
      </c>
      <c r="F184" s="2339">
        <f t="shared" si="18"/>
        <v>10000</v>
      </c>
      <c r="G184" s="2339"/>
      <c r="H184" s="2339">
        <v>10000</v>
      </c>
      <c r="I184" s="2339"/>
      <c r="J184" s="2340"/>
    </row>
    <row r="185" spans="1:10" s="2333" customFormat="1" ht="15" customHeight="1">
      <c r="A185" s="3115"/>
      <c r="B185" s="3116"/>
      <c r="C185" s="3117"/>
      <c r="D185" s="3118"/>
      <c r="E185" s="2338" t="s">
        <v>677</v>
      </c>
      <c r="F185" s="2339">
        <f>SUM(G185:J185)</f>
        <v>90000</v>
      </c>
      <c r="G185" s="2339"/>
      <c r="H185" s="2339">
        <v>90000</v>
      </c>
      <c r="I185" s="2339"/>
      <c r="J185" s="2340"/>
    </row>
    <row r="186" spans="1:10" s="2333" customFormat="1" ht="15" customHeight="1">
      <c r="A186" s="3115"/>
      <c r="B186" s="3116"/>
      <c r="C186" s="3117"/>
      <c r="D186" s="3118"/>
      <c r="E186" s="2338" t="s">
        <v>603</v>
      </c>
      <c r="F186" s="2339">
        <f>SUM(G186:J186)</f>
        <v>30000</v>
      </c>
      <c r="G186" s="2339"/>
      <c r="H186" s="2339">
        <v>30000</v>
      </c>
      <c r="I186" s="2339"/>
      <c r="J186" s="2340"/>
    </row>
    <row r="187" spans="1:10" s="2333" customFormat="1" ht="15" hidden="1" customHeight="1">
      <c r="A187" s="3115"/>
      <c r="B187" s="3116"/>
      <c r="C187" s="3117"/>
      <c r="D187" s="3118"/>
      <c r="E187" s="2338" t="s">
        <v>589</v>
      </c>
      <c r="F187" s="2339">
        <f t="shared" ref="F187:F188" si="19">SUM(G187:J187)</f>
        <v>0</v>
      </c>
      <c r="G187" s="2339"/>
      <c r="H187" s="2339"/>
      <c r="I187" s="2339"/>
      <c r="J187" s="2340"/>
    </row>
    <row r="188" spans="1:10" s="2333" customFormat="1" ht="15" hidden="1" customHeight="1">
      <c r="A188" s="3115"/>
      <c r="B188" s="3116"/>
      <c r="C188" s="3117"/>
      <c r="D188" s="3118"/>
      <c r="E188" s="2338" t="s">
        <v>305</v>
      </c>
      <c r="F188" s="2339">
        <f t="shared" si="19"/>
        <v>0</v>
      </c>
      <c r="G188" s="2339"/>
      <c r="H188" s="2339"/>
      <c r="I188" s="2339"/>
      <c r="J188" s="2340"/>
    </row>
    <row r="189" spans="1:10" s="2333" customFormat="1" ht="15" hidden="1" customHeight="1">
      <c r="A189" s="3115"/>
      <c r="B189" s="3116"/>
      <c r="C189" s="3117"/>
      <c r="D189" s="3118"/>
      <c r="E189" s="2338" t="s">
        <v>595</v>
      </c>
      <c r="F189" s="2339">
        <f>SUM(G189:J189)</f>
        <v>0</v>
      </c>
      <c r="G189" s="2339"/>
      <c r="H189" s="2339"/>
      <c r="I189" s="2339"/>
      <c r="J189" s="2340"/>
    </row>
    <row r="190" spans="1:10" s="2333" customFormat="1" ht="15" customHeight="1">
      <c r="A190" s="3115"/>
      <c r="B190" s="3116"/>
      <c r="C190" s="3117"/>
      <c r="D190" s="3118"/>
      <c r="E190" s="2341" t="s">
        <v>1130</v>
      </c>
      <c r="F190" s="2336">
        <f>SUM(F191:F191)</f>
        <v>12000</v>
      </c>
      <c r="G190" s="2336">
        <f>SUM(G191:G191)</f>
        <v>0</v>
      </c>
      <c r="H190" s="2336">
        <f>SUM(H191:H191)</f>
        <v>12000</v>
      </c>
      <c r="I190" s="2336">
        <f>SUM(I191:I191)</f>
        <v>0</v>
      </c>
      <c r="J190" s="2337">
        <f>SUM(J191:J191)</f>
        <v>0</v>
      </c>
    </row>
    <row r="191" spans="1:10" s="2333" customFormat="1" ht="15" customHeight="1">
      <c r="A191" s="3115"/>
      <c r="B191" s="3116"/>
      <c r="C191" s="3117"/>
      <c r="D191" s="3118"/>
      <c r="E191" s="2338" t="s">
        <v>625</v>
      </c>
      <c r="F191" s="2339">
        <f>SUM(G191:J191)</f>
        <v>12000</v>
      </c>
      <c r="G191" s="2339"/>
      <c r="H191" s="2339">
        <v>12000</v>
      </c>
      <c r="I191" s="2339"/>
      <c r="J191" s="2340"/>
    </row>
    <row r="192" spans="1:10" s="2333" customFormat="1" ht="22.5">
      <c r="A192" s="3115" t="s">
        <v>1156</v>
      </c>
      <c r="B192" s="3116" t="s">
        <v>1157</v>
      </c>
      <c r="C192" s="3117">
        <v>750</v>
      </c>
      <c r="D192" s="3118" t="s">
        <v>684</v>
      </c>
      <c r="E192" s="2330" t="s">
        <v>1129</v>
      </c>
      <c r="F192" s="2331">
        <f>SUM(F193,F202)</f>
        <v>3147499</v>
      </c>
      <c r="G192" s="2331">
        <f>SUM(G193,G202)</f>
        <v>611848</v>
      </c>
      <c r="H192" s="2331">
        <f>SUM(H193,H202)</f>
        <v>2535651</v>
      </c>
      <c r="I192" s="2331">
        <f>SUM(I193,I202)</f>
        <v>0</v>
      </c>
      <c r="J192" s="2332">
        <f>SUM(J193,J202)</f>
        <v>0</v>
      </c>
    </row>
    <row r="193" spans="1:10" s="2333" customFormat="1" ht="21">
      <c r="A193" s="3115"/>
      <c r="B193" s="3116"/>
      <c r="C193" s="3117"/>
      <c r="D193" s="3118"/>
      <c r="E193" s="2335" t="s">
        <v>1135</v>
      </c>
      <c r="F193" s="2336">
        <f>SUM(F194,F198)</f>
        <v>0</v>
      </c>
      <c r="G193" s="2336">
        <f>SUM(G194,G198)</f>
        <v>0</v>
      </c>
      <c r="H193" s="2336">
        <f>SUM(H194,H198)</f>
        <v>0</v>
      </c>
      <c r="I193" s="2336">
        <f>SUM(I194,I198)</f>
        <v>0</v>
      </c>
      <c r="J193" s="2337">
        <f>SUM(J194,J198)</f>
        <v>0</v>
      </c>
    </row>
    <row r="194" spans="1:10" s="2333" customFormat="1" ht="22.5" hidden="1">
      <c r="A194" s="3115"/>
      <c r="B194" s="3116"/>
      <c r="C194" s="3117"/>
      <c r="D194" s="3118"/>
      <c r="E194" s="2347" t="s">
        <v>1136</v>
      </c>
      <c r="F194" s="2348">
        <f>SUM(F195:F197)</f>
        <v>0</v>
      </c>
      <c r="G194" s="2348">
        <f>SUM(G195:G197)</f>
        <v>0</v>
      </c>
      <c r="H194" s="2348">
        <f>SUM(H195:H197)</f>
        <v>0</v>
      </c>
      <c r="I194" s="2348">
        <f>SUM(I195:I197)</f>
        <v>0</v>
      </c>
      <c r="J194" s="2349">
        <f>SUM(J195:J197)</f>
        <v>0</v>
      </c>
    </row>
    <row r="195" spans="1:10" s="2333" customFormat="1" ht="15" hidden="1" customHeight="1">
      <c r="A195" s="3115"/>
      <c r="B195" s="3116"/>
      <c r="C195" s="3117"/>
      <c r="D195" s="3118"/>
      <c r="E195" s="2338"/>
      <c r="F195" s="2339">
        <f>SUM(G195:J195)</f>
        <v>0</v>
      </c>
      <c r="G195" s="2339"/>
      <c r="H195" s="2339"/>
      <c r="I195" s="2339"/>
      <c r="J195" s="2340"/>
    </row>
    <row r="196" spans="1:10" s="2333" customFormat="1" ht="15" hidden="1" customHeight="1">
      <c r="A196" s="3115"/>
      <c r="B196" s="3116"/>
      <c r="C196" s="3117"/>
      <c r="D196" s="3118"/>
      <c r="E196" s="2338"/>
      <c r="F196" s="2339">
        <f>SUM(G196:J196)</f>
        <v>0</v>
      </c>
      <c r="G196" s="2339"/>
      <c r="H196" s="2339"/>
      <c r="I196" s="2339"/>
      <c r="J196" s="2340"/>
    </row>
    <row r="197" spans="1:10" s="2333" customFormat="1" ht="15" hidden="1" customHeight="1">
      <c r="A197" s="3115"/>
      <c r="B197" s="3116"/>
      <c r="C197" s="3117"/>
      <c r="D197" s="3118"/>
      <c r="E197" s="2338"/>
      <c r="F197" s="2339">
        <f>SUM(G197:J197)</f>
        <v>0</v>
      </c>
      <c r="G197" s="2339"/>
      <c r="H197" s="2339"/>
      <c r="I197" s="2339"/>
      <c r="J197" s="2340"/>
    </row>
    <row r="198" spans="1:10" s="2333" customFormat="1" ht="22.5" hidden="1">
      <c r="A198" s="3115"/>
      <c r="B198" s="3116"/>
      <c r="C198" s="3117"/>
      <c r="D198" s="3118"/>
      <c r="E198" s="2347" t="s">
        <v>1137</v>
      </c>
      <c r="F198" s="2348">
        <f>SUM(F199:F201)</f>
        <v>0</v>
      </c>
      <c r="G198" s="2348">
        <f>SUM(G199:G201)</f>
        <v>0</v>
      </c>
      <c r="H198" s="2348">
        <f>SUM(H199:H201)</f>
        <v>0</v>
      </c>
      <c r="I198" s="2348">
        <f>SUM(I199:I201)</f>
        <v>0</v>
      </c>
      <c r="J198" s="2349">
        <f>SUM(J199:J201)</f>
        <v>0</v>
      </c>
    </row>
    <row r="199" spans="1:10" s="2333" customFormat="1" ht="15" hidden="1" customHeight="1">
      <c r="A199" s="3115"/>
      <c r="B199" s="3116"/>
      <c r="C199" s="3117"/>
      <c r="D199" s="3118"/>
      <c r="E199" s="2338"/>
      <c r="F199" s="2339">
        <f>SUM(G199:J199)</f>
        <v>0</v>
      </c>
      <c r="G199" s="2339"/>
      <c r="H199" s="2339"/>
      <c r="I199" s="2339"/>
      <c r="J199" s="2340"/>
    </row>
    <row r="200" spans="1:10" s="2333" customFormat="1" ht="15" hidden="1" customHeight="1">
      <c r="A200" s="3115"/>
      <c r="B200" s="3116"/>
      <c r="C200" s="3117"/>
      <c r="D200" s="3118"/>
      <c r="E200" s="2338"/>
      <c r="F200" s="2339">
        <f t="shared" ref="F200:F201" si="20">SUM(G200:J200)</f>
        <v>0</v>
      </c>
      <c r="G200" s="2339"/>
      <c r="H200" s="2339"/>
      <c r="I200" s="2339"/>
      <c r="J200" s="2340"/>
    </row>
    <row r="201" spans="1:10" s="2333" customFormat="1" ht="15" hidden="1" customHeight="1">
      <c r="A201" s="3115"/>
      <c r="B201" s="3116"/>
      <c r="C201" s="3117"/>
      <c r="D201" s="3118"/>
      <c r="E201" s="2338"/>
      <c r="F201" s="2339">
        <f t="shared" si="20"/>
        <v>0</v>
      </c>
      <c r="G201" s="2339"/>
      <c r="H201" s="2339"/>
      <c r="I201" s="2339"/>
      <c r="J201" s="2340"/>
    </row>
    <row r="202" spans="1:10" s="2333" customFormat="1" ht="15" customHeight="1">
      <c r="A202" s="3115"/>
      <c r="B202" s="3116"/>
      <c r="C202" s="3117"/>
      <c r="D202" s="3118"/>
      <c r="E202" s="2341" t="s">
        <v>1130</v>
      </c>
      <c r="F202" s="2336">
        <f>SUM(F203:F205)</f>
        <v>3147499</v>
      </c>
      <c r="G202" s="2336">
        <f>SUM(G203:G205)</f>
        <v>611848</v>
      </c>
      <c r="H202" s="2336">
        <f>SUM(H203:H205)</f>
        <v>2535651</v>
      </c>
      <c r="I202" s="2336">
        <f>SUM(I203:I205)</f>
        <v>0</v>
      </c>
      <c r="J202" s="2337">
        <f>SUM(J203:J205)</f>
        <v>0</v>
      </c>
    </row>
    <row r="203" spans="1:10" s="2333" customFormat="1" ht="15" customHeight="1">
      <c r="A203" s="3115"/>
      <c r="B203" s="3116"/>
      <c r="C203" s="3117"/>
      <c r="D203" s="3118"/>
      <c r="E203" s="2338" t="s">
        <v>531</v>
      </c>
      <c r="F203" s="2339">
        <f>SUM(G203:J203)</f>
        <v>93607</v>
      </c>
      <c r="G203" s="2339">
        <f>110000-16393</f>
        <v>93607</v>
      </c>
      <c r="H203" s="2339"/>
      <c r="I203" s="2339"/>
      <c r="J203" s="2340"/>
    </row>
    <row r="204" spans="1:10" s="2333" customFormat="1" ht="15" customHeight="1">
      <c r="A204" s="3115"/>
      <c r="B204" s="3116"/>
      <c r="C204" s="3117"/>
      <c r="D204" s="3118"/>
      <c r="E204" s="2338" t="s">
        <v>625</v>
      </c>
      <c r="F204" s="2339">
        <f>SUM(G204:J204)</f>
        <v>2535651</v>
      </c>
      <c r="G204" s="2339"/>
      <c r="H204" s="2339">
        <v>2535651</v>
      </c>
      <c r="I204" s="2339"/>
      <c r="J204" s="2340"/>
    </row>
    <row r="205" spans="1:10" s="2333" customFormat="1" ht="15" customHeight="1">
      <c r="A205" s="3115"/>
      <c r="B205" s="3116"/>
      <c r="C205" s="3117"/>
      <c r="D205" s="3118"/>
      <c r="E205" s="2344">
        <v>6059</v>
      </c>
      <c r="F205" s="2339">
        <f>SUM(G205:J205)</f>
        <v>518241</v>
      </c>
      <c r="G205" s="2339">
        <v>518241</v>
      </c>
      <c r="H205" s="2339"/>
      <c r="I205" s="2339"/>
      <c r="J205" s="2340"/>
    </row>
    <row r="206" spans="1:10" s="2333" customFormat="1" ht="22.5">
      <c r="A206" s="3115" t="s">
        <v>1158</v>
      </c>
      <c r="B206" s="3116" t="s">
        <v>1159</v>
      </c>
      <c r="C206" s="3117">
        <v>750</v>
      </c>
      <c r="D206" s="3118" t="s">
        <v>3</v>
      </c>
      <c r="E206" s="2330" t="s">
        <v>1129</v>
      </c>
      <c r="F206" s="2331">
        <f>SUM(F207,F222)</f>
        <v>1983370</v>
      </c>
      <c r="G206" s="2331">
        <f>SUM(G207,G222)</f>
        <v>0</v>
      </c>
      <c r="H206" s="2331">
        <f>SUM(H207,H222)</f>
        <v>1983370</v>
      </c>
      <c r="I206" s="2331">
        <f>SUM(I207,I222)</f>
        <v>0</v>
      </c>
      <c r="J206" s="2332">
        <f>SUM(J207,J222)</f>
        <v>0</v>
      </c>
    </row>
    <row r="207" spans="1:10" s="2333" customFormat="1" ht="21">
      <c r="A207" s="3115"/>
      <c r="B207" s="3116"/>
      <c r="C207" s="3117"/>
      <c r="D207" s="3118"/>
      <c r="E207" s="2335" t="s">
        <v>1135</v>
      </c>
      <c r="F207" s="2336">
        <f>SUM(F208,F213)</f>
        <v>1763370</v>
      </c>
      <c r="G207" s="2336">
        <f>SUM(G208,G213)</f>
        <v>0</v>
      </c>
      <c r="H207" s="2336">
        <f>SUM(H208,H213)</f>
        <v>1763370</v>
      </c>
      <c r="I207" s="2336">
        <f>SUM(I208,I213)</f>
        <v>0</v>
      </c>
      <c r="J207" s="2337">
        <f>SUM(J208,J213)</f>
        <v>0</v>
      </c>
    </row>
    <row r="208" spans="1:10" s="2333" customFormat="1" ht="22.5">
      <c r="A208" s="3115"/>
      <c r="B208" s="3116"/>
      <c r="C208" s="3117"/>
      <c r="D208" s="3118"/>
      <c r="E208" s="2347" t="s">
        <v>1136</v>
      </c>
      <c r="F208" s="2348">
        <f>SUM(F209:F212)</f>
        <v>583201</v>
      </c>
      <c r="G208" s="2348">
        <f>SUM(G209:G212)</f>
        <v>0</v>
      </c>
      <c r="H208" s="2348">
        <f>SUM(H209:H212)</f>
        <v>583201</v>
      </c>
      <c r="I208" s="2348">
        <f>SUM(I209:I212)</f>
        <v>0</v>
      </c>
      <c r="J208" s="2349">
        <f>SUM(J209:J212)</f>
        <v>0</v>
      </c>
    </row>
    <row r="209" spans="1:10" s="2333" customFormat="1" ht="15" customHeight="1">
      <c r="A209" s="3115"/>
      <c r="B209" s="3116"/>
      <c r="C209" s="3117"/>
      <c r="D209" s="3118"/>
      <c r="E209" s="2338" t="s">
        <v>596</v>
      </c>
      <c r="F209" s="2339">
        <f>SUM(G209:J209)</f>
        <v>470000</v>
      </c>
      <c r="G209" s="2339"/>
      <c r="H209" s="2339">
        <v>470000</v>
      </c>
      <c r="I209" s="2339"/>
      <c r="J209" s="2340"/>
    </row>
    <row r="210" spans="1:10" s="2333" customFormat="1" ht="15" customHeight="1">
      <c r="A210" s="3115"/>
      <c r="B210" s="3116"/>
      <c r="C210" s="3117"/>
      <c r="D210" s="3118"/>
      <c r="E210" s="2338" t="s">
        <v>598</v>
      </c>
      <c r="F210" s="2339">
        <f t="shared" ref="F210:F211" si="21">SUM(G210:J210)</f>
        <v>81686</v>
      </c>
      <c r="G210" s="2339"/>
      <c r="H210" s="2339">
        <v>81686</v>
      </c>
      <c r="I210" s="2339"/>
      <c r="J210" s="2340"/>
    </row>
    <row r="211" spans="1:10" s="2333" customFormat="1" ht="15" customHeight="1">
      <c r="A211" s="3115"/>
      <c r="B211" s="3116"/>
      <c r="C211" s="3117"/>
      <c r="D211" s="3118"/>
      <c r="E211" s="2338" t="s">
        <v>599</v>
      </c>
      <c r="F211" s="2339">
        <f t="shared" si="21"/>
        <v>11515</v>
      </c>
      <c r="G211" s="2339"/>
      <c r="H211" s="2339">
        <v>11515</v>
      </c>
      <c r="I211" s="2339"/>
      <c r="J211" s="2340"/>
    </row>
    <row r="212" spans="1:10" s="2333" customFormat="1" ht="15" customHeight="1">
      <c r="A212" s="3115"/>
      <c r="B212" s="3116"/>
      <c r="C212" s="3117"/>
      <c r="D212" s="3118"/>
      <c r="E212" s="2338" t="s">
        <v>673</v>
      </c>
      <c r="F212" s="2339">
        <f>SUM(G212:J212)</f>
        <v>20000</v>
      </c>
      <c r="G212" s="2339"/>
      <c r="H212" s="2339">
        <v>20000</v>
      </c>
      <c r="I212" s="2339"/>
      <c r="J212" s="2340"/>
    </row>
    <row r="213" spans="1:10" s="2333" customFormat="1" ht="22.5">
      <c r="A213" s="3115"/>
      <c r="B213" s="3116"/>
      <c r="C213" s="3117"/>
      <c r="D213" s="3118"/>
      <c r="E213" s="2347" t="s">
        <v>1137</v>
      </c>
      <c r="F213" s="2348">
        <f>SUM(F214:F221)</f>
        <v>1180169</v>
      </c>
      <c r="G213" s="2348">
        <f>SUM(G214:G221)</f>
        <v>0</v>
      </c>
      <c r="H213" s="2348">
        <f>SUM(H214:H221)</f>
        <v>1180169</v>
      </c>
      <c r="I213" s="2348">
        <f>SUM(I214:I221)</f>
        <v>0</v>
      </c>
      <c r="J213" s="2349">
        <f>SUM(J214:J221)</f>
        <v>0</v>
      </c>
    </row>
    <row r="214" spans="1:10" s="2333" customFormat="1" ht="15" customHeight="1">
      <c r="A214" s="3115"/>
      <c r="B214" s="3116"/>
      <c r="C214" s="3117"/>
      <c r="D214" s="3118"/>
      <c r="E214" s="2338" t="s">
        <v>600</v>
      </c>
      <c r="F214" s="2339">
        <f>SUM(G214:J214)</f>
        <v>100000</v>
      </c>
      <c r="G214" s="2339"/>
      <c r="H214" s="2339">
        <v>100000</v>
      </c>
      <c r="I214" s="2339"/>
      <c r="J214" s="2340"/>
    </row>
    <row r="215" spans="1:10" s="2333" customFormat="1" ht="15" customHeight="1">
      <c r="A215" s="3115"/>
      <c r="B215" s="3116"/>
      <c r="C215" s="3117"/>
      <c r="D215" s="3118"/>
      <c r="E215" s="2338" t="s">
        <v>601</v>
      </c>
      <c r="F215" s="2339">
        <f t="shared" ref="F215:F221" si="22">SUM(G215:J215)</f>
        <v>940169</v>
      </c>
      <c r="G215" s="2339"/>
      <c r="H215" s="2339">
        <v>940169</v>
      </c>
      <c r="I215" s="2339"/>
      <c r="J215" s="2340"/>
    </row>
    <row r="216" spans="1:10" s="2333" customFormat="1" ht="15" customHeight="1">
      <c r="A216" s="3115"/>
      <c r="B216" s="3116"/>
      <c r="C216" s="3117"/>
      <c r="D216" s="3118"/>
      <c r="E216" s="2338" t="s">
        <v>674</v>
      </c>
      <c r="F216" s="2339">
        <f t="shared" si="22"/>
        <v>20000</v>
      </c>
      <c r="G216" s="2339"/>
      <c r="H216" s="2339">
        <v>20000</v>
      </c>
      <c r="I216" s="2339"/>
      <c r="J216" s="2340"/>
    </row>
    <row r="217" spans="1:10" s="2333" customFormat="1" ht="15" customHeight="1">
      <c r="A217" s="3115"/>
      <c r="B217" s="3116"/>
      <c r="C217" s="3117"/>
      <c r="D217" s="3118"/>
      <c r="E217" s="2338" t="s">
        <v>676</v>
      </c>
      <c r="F217" s="2339">
        <f t="shared" si="22"/>
        <v>20000</v>
      </c>
      <c r="G217" s="2339"/>
      <c r="H217" s="2339">
        <v>20000</v>
      </c>
      <c r="I217" s="2339"/>
      <c r="J217" s="2340"/>
    </row>
    <row r="218" spans="1:10" s="2333" customFormat="1" ht="15" customHeight="1">
      <c r="A218" s="3115"/>
      <c r="B218" s="3116"/>
      <c r="C218" s="3117"/>
      <c r="D218" s="3118"/>
      <c r="E218" s="2338" t="s">
        <v>602</v>
      </c>
      <c r="F218" s="2339">
        <f t="shared" si="22"/>
        <v>5000</v>
      </c>
      <c r="G218" s="2339"/>
      <c r="H218" s="2339">
        <v>5000</v>
      </c>
      <c r="I218" s="2339"/>
      <c r="J218" s="2340"/>
    </row>
    <row r="219" spans="1:10" s="2333" customFormat="1" ht="15" customHeight="1">
      <c r="A219" s="3115"/>
      <c r="B219" s="3116"/>
      <c r="C219" s="3117"/>
      <c r="D219" s="3118"/>
      <c r="E219" s="2338" t="s">
        <v>677</v>
      </c>
      <c r="F219" s="2339">
        <f t="shared" si="22"/>
        <v>80000</v>
      </c>
      <c r="G219" s="2339"/>
      <c r="H219" s="2339">
        <v>80000</v>
      </c>
      <c r="I219" s="2339"/>
      <c r="J219" s="2340"/>
    </row>
    <row r="220" spans="1:10" s="2333" customFormat="1" ht="15" customHeight="1">
      <c r="A220" s="3115"/>
      <c r="B220" s="3116"/>
      <c r="C220" s="3117"/>
      <c r="D220" s="3118"/>
      <c r="E220" s="2338" t="s">
        <v>603</v>
      </c>
      <c r="F220" s="2339">
        <f t="shared" si="22"/>
        <v>15000</v>
      </c>
      <c r="G220" s="2339"/>
      <c r="H220" s="2339">
        <v>15000</v>
      </c>
      <c r="I220" s="2339"/>
      <c r="J220" s="2340"/>
    </row>
    <row r="221" spans="1:10" s="2333" customFormat="1" ht="15" hidden="1" customHeight="1">
      <c r="A221" s="3115"/>
      <c r="B221" s="3116"/>
      <c r="C221" s="3117"/>
      <c r="D221" s="3118"/>
      <c r="E221" s="2338" t="s">
        <v>305</v>
      </c>
      <c r="F221" s="2339">
        <f t="shared" si="22"/>
        <v>0</v>
      </c>
      <c r="G221" s="2339"/>
      <c r="H221" s="2339"/>
      <c r="I221" s="2339"/>
      <c r="J221" s="2340"/>
    </row>
    <row r="222" spans="1:10" s="2333" customFormat="1" ht="15" customHeight="1">
      <c r="A222" s="3115"/>
      <c r="B222" s="3116"/>
      <c r="C222" s="3117"/>
      <c r="D222" s="3118"/>
      <c r="E222" s="2341" t="s">
        <v>1130</v>
      </c>
      <c r="F222" s="2336">
        <f>SUM(F223:F224)</f>
        <v>220000</v>
      </c>
      <c r="G222" s="2336">
        <f>SUM(G223:G224)</f>
        <v>0</v>
      </c>
      <c r="H222" s="2336">
        <f>SUM(H223:H224)</f>
        <v>220000</v>
      </c>
      <c r="I222" s="2336">
        <f>SUM(I223:I224)</f>
        <v>0</v>
      </c>
      <c r="J222" s="2337">
        <f>SUM(J223:J224)</f>
        <v>0</v>
      </c>
    </row>
    <row r="223" spans="1:10" s="2333" customFormat="1" ht="15" hidden="1" customHeight="1">
      <c r="A223" s="3115"/>
      <c r="B223" s="3116"/>
      <c r="C223" s="3117"/>
      <c r="D223" s="3118"/>
      <c r="E223" s="2338" t="s">
        <v>612</v>
      </c>
      <c r="F223" s="2339">
        <f>SUM(G223:J223)</f>
        <v>0</v>
      </c>
      <c r="G223" s="2339"/>
      <c r="H223" s="2339"/>
      <c r="I223" s="2339"/>
      <c r="J223" s="2340"/>
    </row>
    <row r="224" spans="1:10" s="2333" customFormat="1" ht="15" customHeight="1">
      <c r="A224" s="3115"/>
      <c r="B224" s="3116"/>
      <c r="C224" s="3117"/>
      <c r="D224" s="3118"/>
      <c r="E224" s="2344">
        <v>6067</v>
      </c>
      <c r="F224" s="2339">
        <f>SUM(G224:J224)</f>
        <v>220000</v>
      </c>
      <c r="G224" s="2339"/>
      <c r="H224" s="2339">
        <v>220000</v>
      </c>
      <c r="I224" s="2339"/>
      <c r="J224" s="2340"/>
    </row>
    <row r="225" spans="1:10" s="2333" customFormat="1" ht="15" hidden="1" customHeight="1">
      <c r="A225" s="3122"/>
      <c r="B225" s="3123" t="s">
        <v>1160</v>
      </c>
      <c r="C225" s="3124">
        <v>854</v>
      </c>
      <c r="D225" s="3125" t="s">
        <v>866</v>
      </c>
      <c r="E225" s="2358" t="s">
        <v>1129</v>
      </c>
      <c r="F225" s="2359">
        <f>SUM(F226,F245)</f>
        <v>0</v>
      </c>
      <c r="G225" s="2359">
        <f>SUM(G226,G245)</f>
        <v>0</v>
      </c>
      <c r="H225" s="2359">
        <f>SUM(H226,H245)</f>
        <v>0</v>
      </c>
      <c r="I225" s="2359">
        <f>SUM(I226,I245)</f>
        <v>0</v>
      </c>
      <c r="J225" s="2360">
        <f>SUM(J226,J245)</f>
        <v>0</v>
      </c>
    </row>
    <row r="226" spans="1:10" s="2333" customFormat="1" ht="15" hidden="1" customHeight="1">
      <c r="A226" s="3122"/>
      <c r="B226" s="3123"/>
      <c r="C226" s="3124"/>
      <c r="D226" s="3125"/>
      <c r="E226" s="2361" t="s">
        <v>1135</v>
      </c>
      <c r="F226" s="2362">
        <f>SUM(F227,F234)</f>
        <v>0</v>
      </c>
      <c r="G226" s="2362">
        <f>SUM(G227,G234)</f>
        <v>0</v>
      </c>
      <c r="H226" s="2362">
        <f>SUM(H227,H234)</f>
        <v>0</v>
      </c>
      <c r="I226" s="2362">
        <f>SUM(I227,I234)</f>
        <v>0</v>
      </c>
      <c r="J226" s="2363">
        <f>SUM(J227,J234)</f>
        <v>0</v>
      </c>
    </row>
    <row r="227" spans="1:10" s="2333" customFormat="1" ht="15" hidden="1" customHeight="1">
      <c r="A227" s="3122"/>
      <c r="B227" s="3123"/>
      <c r="C227" s="3124"/>
      <c r="D227" s="3125"/>
      <c r="E227" s="2364" t="s">
        <v>1136</v>
      </c>
      <c r="F227" s="2365">
        <f>SUM(F228:F233)</f>
        <v>0</v>
      </c>
      <c r="G227" s="2365">
        <f>SUM(G228:G233)</f>
        <v>0</v>
      </c>
      <c r="H227" s="2365">
        <f>SUM(H228:H233)</f>
        <v>0</v>
      </c>
      <c r="I227" s="2365">
        <f>SUM(I228:I233)</f>
        <v>0</v>
      </c>
      <c r="J227" s="2366">
        <f>SUM(J228:J233)</f>
        <v>0</v>
      </c>
    </row>
    <row r="228" spans="1:10" s="2333" customFormat="1" ht="15" hidden="1" customHeight="1">
      <c r="A228" s="3122"/>
      <c r="B228" s="3123"/>
      <c r="C228" s="3124"/>
      <c r="D228" s="3125"/>
      <c r="E228" s="2354" t="s">
        <v>596</v>
      </c>
      <c r="F228" s="2355">
        <f>SUM(G228:J228)</f>
        <v>0</v>
      </c>
      <c r="G228" s="2355"/>
      <c r="H228" s="2355"/>
      <c r="I228" s="2355"/>
      <c r="J228" s="2356"/>
    </row>
    <row r="229" spans="1:10" s="2333" customFormat="1" ht="15" hidden="1" customHeight="1">
      <c r="A229" s="3122"/>
      <c r="B229" s="3123"/>
      <c r="C229" s="3124"/>
      <c r="D229" s="3125"/>
      <c r="E229" s="2354" t="s">
        <v>541</v>
      </c>
      <c r="F229" s="2355">
        <f t="shared" ref="F229:F231" si="23">SUM(G229:J229)</f>
        <v>0</v>
      </c>
      <c r="G229" s="2355"/>
      <c r="H229" s="2355"/>
      <c r="I229" s="2355"/>
      <c r="J229" s="2356"/>
    </row>
    <row r="230" spans="1:10" s="2333" customFormat="1" ht="15" hidden="1" customHeight="1">
      <c r="A230" s="3122"/>
      <c r="B230" s="3123"/>
      <c r="C230" s="3124"/>
      <c r="D230" s="3125"/>
      <c r="E230" s="2354" t="s">
        <v>598</v>
      </c>
      <c r="F230" s="2355">
        <f t="shared" si="23"/>
        <v>0</v>
      </c>
      <c r="G230" s="2355"/>
      <c r="H230" s="2355"/>
      <c r="I230" s="2355"/>
      <c r="J230" s="2356"/>
    </row>
    <row r="231" spans="1:10" s="2333" customFormat="1" ht="15" hidden="1" customHeight="1">
      <c r="A231" s="3122"/>
      <c r="B231" s="3123"/>
      <c r="C231" s="3124"/>
      <c r="D231" s="3125"/>
      <c r="E231" s="2354" t="s">
        <v>545</v>
      </c>
      <c r="F231" s="2355">
        <f t="shared" si="23"/>
        <v>0</v>
      </c>
      <c r="G231" s="2355"/>
      <c r="H231" s="2355"/>
      <c r="I231" s="2355"/>
      <c r="J231" s="2356"/>
    </row>
    <row r="232" spans="1:10" s="2333" customFormat="1" ht="15" hidden="1" customHeight="1">
      <c r="A232" s="3122"/>
      <c r="B232" s="3123"/>
      <c r="C232" s="3124"/>
      <c r="D232" s="3125"/>
      <c r="E232" s="2354" t="s">
        <v>599</v>
      </c>
      <c r="F232" s="2355">
        <f>SUM(G232:J232)</f>
        <v>0</v>
      </c>
      <c r="G232" s="2355"/>
      <c r="H232" s="2355"/>
      <c r="I232" s="2355"/>
      <c r="J232" s="2356"/>
    </row>
    <row r="233" spans="1:10" s="2333" customFormat="1" ht="15" hidden="1" customHeight="1">
      <c r="A233" s="3122"/>
      <c r="B233" s="3123"/>
      <c r="C233" s="3124"/>
      <c r="D233" s="3125"/>
      <c r="E233" s="2354" t="s">
        <v>547</v>
      </c>
      <c r="F233" s="2355">
        <f>SUM(G233:J233)</f>
        <v>0</v>
      </c>
      <c r="G233" s="2355"/>
      <c r="H233" s="2355"/>
      <c r="I233" s="2355"/>
      <c r="J233" s="2356"/>
    </row>
    <row r="234" spans="1:10" s="2333" customFormat="1" ht="15" hidden="1" customHeight="1">
      <c r="A234" s="3122"/>
      <c r="B234" s="3123"/>
      <c r="C234" s="3124"/>
      <c r="D234" s="3125"/>
      <c r="E234" s="2364" t="s">
        <v>1137</v>
      </c>
      <c r="F234" s="2365">
        <f>SUM(F235:F244)</f>
        <v>0</v>
      </c>
      <c r="G234" s="2365">
        <f>SUM(G235:G244)</f>
        <v>0</v>
      </c>
      <c r="H234" s="2365">
        <f>SUM(H235:H244)</f>
        <v>0</v>
      </c>
      <c r="I234" s="2365">
        <f>SUM(I235:I244)</f>
        <v>0</v>
      </c>
      <c r="J234" s="2366">
        <f>SUM(J235:J244)</f>
        <v>0</v>
      </c>
    </row>
    <row r="235" spans="1:10" s="2333" customFormat="1" ht="15" hidden="1" customHeight="1">
      <c r="A235" s="3122"/>
      <c r="B235" s="3123"/>
      <c r="C235" s="3124"/>
      <c r="D235" s="3125"/>
      <c r="E235" s="2354" t="s">
        <v>778</v>
      </c>
      <c r="F235" s="2355">
        <f>SUM(G235:J235)</f>
        <v>0</v>
      </c>
      <c r="G235" s="2355"/>
      <c r="H235" s="2355"/>
      <c r="I235" s="2355"/>
      <c r="J235" s="2356"/>
    </row>
    <row r="236" spans="1:10" s="2333" customFormat="1" ht="15" hidden="1" customHeight="1">
      <c r="A236" s="3122"/>
      <c r="B236" s="3123"/>
      <c r="C236" s="3124"/>
      <c r="D236" s="3125"/>
      <c r="E236" s="2354" t="s">
        <v>779</v>
      </c>
      <c r="F236" s="2355">
        <f t="shared" ref="F236:F243" si="24">SUM(G236:J236)</f>
        <v>0</v>
      </c>
      <c r="G236" s="2355"/>
      <c r="H236" s="2355"/>
      <c r="I236" s="2355"/>
      <c r="J236" s="2356"/>
    </row>
    <row r="237" spans="1:10" s="2333" customFormat="1" ht="15" hidden="1" customHeight="1">
      <c r="A237" s="3122"/>
      <c r="B237" s="3123"/>
      <c r="C237" s="3124"/>
      <c r="D237" s="3125"/>
      <c r="E237" s="2354" t="s">
        <v>600</v>
      </c>
      <c r="F237" s="2355">
        <f t="shared" si="24"/>
        <v>0</v>
      </c>
      <c r="G237" s="2355"/>
      <c r="H237" s="2355"/>
      <c r="I237" s="2355"/>
      <c r="J237" s="2356"/>
    </row>
    <row r="238" spans="1:10" s="2333" customFormat="1" ht="15" hidden="1" customHeight="1">
      <c r="A238" s="3122"/>
      <c r="B238" s="3123"/>
      <c r="C238" s="3124"/>
      <c r="D238" s="3125"/>
      <c r="E238" s="2354" t="s">
        <v>554</v>
      </c>
      <c r="F238" s="2355">
        <f t="shared" si="24"/>
        <v>0</v>
      </c>
      <c r="G238" s="2355"/>
      <c r="H238" s="2355"/>
      <c r="I238" s="2355"/>
      <c r="J238" s="2356"/>
    </row>
    <row r="239" spans="1:10" s="2333" customFormat="1" ht="15" hidden="1" customHeight="1">
      <c r="A239" s="3122"/>
      <c r="B239" s="3123"/>
      <c r="C239" s="3124"/>
      <c r="D239" s="3125"/>
      <c r="E239" s="2354" t="s">
        <v>786</v>
      </c>
      <c r="F239" s="2355">
        <f t="shared" si="24"/>
        <v>0</v>
      </c>
      <c r="G239" s="2355"/>
      <c r="H239" s="2355"/>
      <c r="I239" s="2355"/>
      <c r="J239" s="2356"/>
    </row>
    <row r="240" spans="1:10" s="2333" customFormat="1" ht="15" hidden="1" customHeight="1">
      <c r="A240" s="3122"/>
      <c r="B240" s="3123"/>
      <c r="C240" s="3124"/>
      <c r="D240" s="3125"/>
      <c r="E240" s="2354" t="s">
        <v>693</v>
      </c>
      <c r="F240" s="2355">
        <f t="shared" si="24"/>
        <v>0</v>
      </c>
      <c r="G240" s="2355"/>
      <c r="H240" s="2355"/>
      <c r="I240" s="2355"/>
      <c r="J240" s="2356"/>
    </row>
    <row r="241" spans="1:11" s="2333" customFormat="1" ht="15" hidden="1" customHeight="1">
      <c r="A241" s="3122"/>
      <c r="B241" s="3123"/>
      <c r="C241" s="3124"/>
      <c r="D241" s="3125"/>
      <c r="E241" s="2354" t="s">
        <v>601</v>
      </c>
      <c r="F241" s="2355">
        <f t="shared" si="24"/>
        <v>0</v>
      </c>
      <c r="G241" s="2355"/>
      <c r="H241" s="2355"/>
      <c r="I241" s="2355"/>
      <c r="J241" s="2356"/>
    </row>
    <row r="242" spans="1:11" s="2333" customFormat="1" ht="15" hidden="1" customHeight="1">
      <c r="A242" s="3122"/>
      <c r="B242" s="3123"/>
      <c r="C242" s="3124"/>
      <c r="D242" s="3125"/>
      <c r="E242" s="2354" t="s">
        <v>558</v>
      </c>
      <c r="F242" s="2355">
        <f t="shared" si="24"/>
        <v>0</v>
      </c>
      <c r="G242" s="2355"/>
      <c r="H242" s="2355"/>
      <c r="I242" s="2355"/>
      <c r="J242" s="2356"/>
    </row>
    <row r="243" spans="1:11" s="2333" customFormat="1" ht="15" hidden="1" customHeight="1">
      <c r="A243" s="3122"/>
      <c r="B243" s="3123"/>
      <c r="C243" s="3124"/>
      <c r="D243" s="3125"/>
      <c r="E243" s="2354" t="s">
        <v>790</v>
      </c>
      <c r="F243" s="2355">
        <f t="shared" si="24"/>
        <v>0</v>
      </c>
      <c r="G243" s="2355"/>
      <c r="H243" s="2355"/>
      <c r="I243" s="2355"/>
      <c r="J243" s="2356"/>
    </row>
    <row r="244" spans="1:11" s="2333" customFormat="1" ht="15" hidden="1" customHeight="1">
      <c r="A244" s="3122"/>
      <c r="B244" s="3123"/>
      <c r="C244" s="3124"/>
      <c r="D244" s="3125"/>
      <c r="E244" s="2354" t="s">
        <v>719</v>
      </c>
      <c r="F244" s="2355">
        <f>SUM(G244:J244)</f>
        <v>0</v>
      </c>
      <c r="G244" s="2355"/>
      <c r="H244" s="2355"/>
      <c r="I244" s="2355"/>
      <c r="J244" s="2356"/>
    </row>
    <row r="245" spans="1:11" s="2333" customFormat="1" ht="15" hidden="1" customHeight="1">
      <c r="A245" s="3122"/>
      <c r="B245" s="3123"/>
      <c r="C245" s="3124"/>
      <c r="D245" s="3125"/>
      <c r="E245" s="2367" t="s">
        <v>1130</v>
      </c>
      <c r="F245" s="2362">
        <f>SUM(F246:F247)</f>
        <v>0</v>
      </c>
      <c r="G245" s="2362">
        <f>SUM(G246:G247)</f>
        <v>0</v>
      </c>
      <c r="H245" s="2362">
        <f>SUM(H246:H247)</f>
        <v>0</v>
      </c>
      <c r="I245" s="2362">
        <f>SUM(I246:I247)</f>
        <v>0</v>
      </c>
      <c r="J245" s="2363">
        <f>SUM(J246:J247)</f>
        <v>0</v>
      </c>
    </row>
    <row r="246" spans="1:11" s="2333" customFormat="1" ht="15" hidden="1" customHeight="1">
      <c r="A246" s="2350"/>
      <c r="B246" s="2351"/>
      <c r="C246" s="2352"/>
      <c r="D246" s="2353"/>
      <c r="E246" s="2354"/>
      <c r="F246" s="2355">
        <f>SUM(G246:J246)</f>
        <v>0</v>
      </c>
      <c r="G246" s="2355"/>
      <c r="H246" s="2355"/>
      <c r="I246" s="2355"/>
      <c r="J246" s="2356"/>
    </row>
    <row r="247" spans="1:11" s="2333" customFormat="1" ht="15" hidden="1" customHeight="1">
      <c r="A247" s="2350"/>
      <c r="B247" s="2351"/>
      <c r="C247" s="2352"/>
      <c r="D247" s="2353"/>
      <c r="E247" s="2368"/>
      <c r="F247" s="2355">
        <f>SUM(G247:J247)</f>
        <v>0</v>
      </c>
      <c r="G247" s="2355"/>
      <c r="H247" s="2355"/>
      <c r="I247" s="2355"/>
      <c r="J247" s="2356"/>
    </row>
    <row r="248" spans="1:11" s="2333" customFormat="1" ht="15" hidden="1" customHeight="1">
      <c r="A248" s="3122"/>
      <c r="B248" s="3123" t="s">
        <v>1161</v>
      </c>
      <c r="C248" s="3124">
        <v>854</v>
      </c>
      <c r="D248" s="3125" t="s">
        <v>866</v>
      </c>
      <c r="E248" s="2358" t="s">
        <v>1129</v>
      </c>
      <c r="F248" s="2359">
        <f>SUM(F249,F268)</f>
        <v>0</v>
      </c>
      <c r="G248" s="2359">
        <f>SUM(G249,G268)</f>
        <v>0</v>
      </c>
      <c r="H248" s="2359">
        <f>SUM(H249,H268)</f>
        <v>0</v>
      </c>
      <c r="I248" s="2359">
        <f>SUM(I249,I268)</f>
        <v>0</v>
      </c>
      <c r="J248" s="2360">
        <f>SUM(J249,J268)</f>
        <v>0</v>
      </c>
    </row>
    <row r="249" spans="1:11" s="2333" customFormat="1" ht="15" hidden="1" customHeight="1">
      <c r="A249" s="3122"/>
      <c r="B249" s="3123"/>
      <c r="C249" s="3124"/>
      <c r="D249" s="3125"/>
      <c r="E249" s="2361" t="s">
        <v>1135</v>
      </c>
      <c r="F249" s="2362">
        <f>SUM(F250,F257)</f>
        <v>0</v>
      </c>
      <c r="G249" s="2362">
        <f>SUM(G250,G257)</f>
        <v>0</v>
      </c>
      <c r="H249" s="2362">
        <f>SUM(H250,H257)</f>
        <v>0</v>
      </c>
      <c r="I249" s="2362">
        <f>SUM(I250,I257)</f>
        <v>0</v>
      </c>
      <c r="J249" s="2363">
        <f>SUM(J250,J257)</f>
        <v>0</v>
      </c>
    </row>
    <row r="250" spans="1:11" s="2333" customFormat="1" ht="15" hidden="1" customHeight="1">
      <c r="A250" s="3122"/>
      <c r="B250" s="3123"/>
      <c r="C250" s="3124"/>
      <c r="D250" s="3125"/>
      <c r="E250" s="2364" t="s">
        <v>1136</v>
      </c>
      <c r="F250" s="2365">
        <f>SUM(F251:F256)</f>
        <v>0</v>
      </c>
      <c r="G250" s="2365">
        <f>SUM(G251:G256)</f>
        <v>0</v>
      </c>
      <c r="H250" s="2365">
        <f>SUM(H251:H256)</f>
        <v>0</v>
      </c>
      <c r="I250" s="2365">
        <f>SUM(I251:I256)</f>
        <v>0</v>
      </c>
      <c r="J250" s="2366">
        <f>SUM(J251:J256)</f>
        <v>0</v>
      </c>
    </row>
    <row r="251" spans="1:11" s="2333" customFormat="1" ht="15" hidden="1" customHeight="1">
      <c r="A251" s="3122"/>
      <c r="B251" s="3123"/>
      <c r="C251" s="3124"/>
      <c r="D251" s="3125"/>
      <c r="E251" s="2354" t="s">
        <v>596</v>
      </c>
      <c r="F251" s="2355">
        <f>SUM(G251:J251)</f>
        <v>0</v>
      </c>
      <c r="G251" s="2355"/>
      <c r="H251" s="2355"/>
      <c r="I251" s="2355"/>
      <c r="J251" s="2356"/>
      <c r="K251" s="2334"/>
    </row>
    <row r="252" spans="1:11" s="2333" customFormat="1" ht="15" hidden="1" customHeight="1">
      <c r="A252" s="3122"/>
      <c r="B252" s="3123"/>
      <c r="C252" s="3124"/>
      <c r="D252" s="3125"/>
      <c r="E252" s="2354" t="s">
        <v>541</v>
      </c>
      <c r="F252" s="2355">
        <f t="shared" ref="F252:F254" si="25">SUM(G252:J252)</f>
        <v>0</v>
      </c>
      <c r="G252" s="2355"/>
      <c r="H252" s="2355"/>
      <c r="I252" s="2355"/>
      <c r="J252" s="2356"/>
      <c r="K252" s="2334"/>
    </row>
    <row r="253" spans="1:11" s="2333" customFormat="1" ht="15" hidden="1" customHeight="1">
      <c r="A253" s="3122"/>
      <c r="B253" s="3123"/>
      <c r="C253" s="3124"/>
      <c r="D253" s="3125"/>
      <c r="E253" s="2354" t="s">
        <v>598</v>
      </c>
      <c r="F253" s="2355">
        <f t="shared" si="25"/>
        <v>0</v>
      </c>
      <c r="G253" s="2355"/>
      <c r="H253" s="2355"/>
      <c r="I253" s="2355"/>
      <c r="J253" s="2356"/>
      <c r="K253" s="2334"/>
    </row>
    <row r="254" spans="1:11" s="2333" customFormat="1" ht="15" hidden="1" customHeight="1">
      <c r="A254" s="3122"/>
      <c r="B254" s="3123"/>
      <c r="C254" s="3124"/>
      <c r="D254" s="3125"/>
      <c r="E254" s="2354" t="s">
        <v>545</v>
      </c>
      <c r="F254" s="2355">
        <f t="shared" si="25"/>
        <v>0</v>
      </c>
      <c r="G254" s="2355"/>
      <c r="H254" s="2355"/>
      <c r="I254" s="2355"/>
      <c r="J254" s="2356"/>
      <c r="K254" s="2334"/>
    </row>
    <row r="255" spans="1:11" s="2333" customFormat="1" ht="15" hidden="1" customHeight="1">
      <c r="A255" s="3122"/>
      <c r="B255" s="3123"/>
      <c r="C255" s="3124"/>
      <c r="D255" s="3125"/>
      <c r="E255" s="2354" t="s">
        <v>599</v>
      </c>
      <c r="F255" s="2355">
        <f>SUM(G255:J255)</f>
        <v>0</v>
      </c>
      <c r="G255" s="2355"/>
      <c r="H255" s="2355"/>
      <c r="I255" s="2355"/>
      <c r="J255" s="2356"/>
      <c r="K255" s="2334"/>
    </row>
    <row r="256" spans="1:11" s="2333" customFormat="1" ht="15" hidden="1" customHeight="1">
      <c r="A256" s="3122"/>
      <c r="B256" s="3123"/>
      <c r="C256" s="3124"/>
      <c r="D256" s="3125"/>
      <c r="E256" s="2354" t="s">
        <v>547</v>
      </c>
      <c r="F256" s="2355">
        <f>SUM(G256:J256)</f>
        <v>0</v>
      </c>
      <c r="G256" s="2355"/>
      <c r="H256" s="2355"/>
      <c r="I256" s="2355"/>
      <c r="J256" s="2356"/>
      <c r="K256" s="2334"/>
    </row>
    <row r="257" spans="1:11" s="2333" customFormat="1" ht="15" hidden="1" customHeight="1">
      <c r="A257" s="3122"/>
      <c r="B257" s="3123"/>
      <c r="C257" s="3124"/>
      <c r="D257" s="3125"/>
      <c r="E257" s="2364" t="s">
        <v>1137</v>
      </c>
      <c r="F257" s="2365">
        <f>SUM(F258:F267)</f>
        <v>0</v>
      </c>
      <c r="G257" s="2365">
        <f>SUM(G258:G267)</f>
        <v>0</v>
      </c>
      <c r="H257" s="2365">
        <f>SUM(H258:H267)</f>
        <v>0</v>
      </c>
      <c r="I257" s="2365">
        <f>SUM(I258:I267)</f>
        <v>0</v>
      </c>
      <c r="J257" s="2366">
        <f>SUM(J258:J267)</f>
        <v>0</v>
      </c>
      <c r="K257" s="2334"/>
    </row>
    <row r="258" spans="1:11" s="2333" customFormat="1" ht="15" hidden="1" customHeight="1">
      <c r="A258" s="3122"/>
      <c r="B258" s="3123"/>
      <c r="C258" s="3124"/>
      <c r="D258" s="3125"/>
      <c r="E258" s="2354" t="s">
        <v>778</v>
      </c>
      <c r="F258" s="2355">
        <f>SUM(G258:J258)</f>
        <v>0</v>
      </c>
      <c r="G258" s="2355"/>
      <c r="H258" s="2355"/>
      <c r="I258" s="2355"/>
      <c r="J258" s="2356"/>
      <c r="K258" s="2334"/>
    </row>
    <row r="259" spans="1:11" s="2333" customFormat="1" ht="15" hidden="1" customHeight="1">
      <c r="A259" s="3122"/>
      <c r="B259" s="3123"/>
      <c r="C259" s="3124"/>
      <c r="D259" s="3125"/>
      <c r="E259" s="2354" t="s">
        <v>779</v>
      </c>
      <c r="F259" s="2355">
        <f t="shared" ref="F259:F266" si="26">SUM(G259:J259)</f>
        <v>0</v>
      </c>
      <c r="G259" s="2355"/>
      <c r="H259" s="2355"/>
      <c r="I259" s="2355"/>
      <c r="J259" s="2356"/>
      <c r="K259" s="2334"/>
    </row>
    <row r="260" spans="1:11" s="2333" customFormat="1" ht="15" hidden="1" customHeight="1">
      <c r="A260" s="3122"/>
      <c r="B260" s="3123"/>
      <c r="C260" s="3124"/>
      <c r="D260" s="3125"/>
      <c r="E260" s="2354" t="s">
        <v>600</v>
      </c>
      <c r="F260" s="2355">
        <f t="shared" si="26"/>
        <v>0</v>
      </c>
      <c r="G260" s="2355"/>
      <c r="H260" s="2355"/>
      <c r="I260" s="2355"/>
      <c r="J260" s="2356"/>
      <c r="K260" s="2334"/>
    </row>
    <row r="261" spans="1:11" s="2333" customFormat="1" ht="15" hidden="1" customHeight="1">
      <c r="A261" s="3122"/>
      <c r="B261" s="3123"/>
      <c r="C261" s="3124"/>
      <c r="D261" s="3125"/>
      <c r="E261" s="2354" t="s">
        <v>554</v>
      </c>
      <c r="F261" s="2355">
        <f t="shared" si="26"/>
        <v>0</v>
      </c>
      <c r="G261" s="2355"/>
      <c r="H261" s="2355"/>
      <c r="I261" s="2355"/>
      <c r="J261" s="2356"/>
      <c r="K261" s="2334"/>
    </row>
    <row r="262" spans="1:11" s="2333" customFormat="1" ht="15" hidden="1" customHeight="1">
      <c r="A262" s="3122"/>
      <c r="B262" s="3123"/>
      <c r="C262" s="3124"/>
      <c r="D262" s="3125"/>
      <c r="E262" s="2354" t="s">
        <v>786</v>
      </c>
      <c r="F262" s="2355">
        <f t="shared" si="26"/>
        <v>0</v>
      </c>
      <c r="G262" s="2355"/>
      <c r="H262" s="2355"/>
      <c r="I262" s="2355"/>
      <c r="J262" s="2356"/>
      <c r="K262" s="2334"/>
    </row>
    <row r="263" spans="1:11" s="2333" customFormat="1" ht="15" hidden="1" customHeight="1">
      <c r="A263" s="3122"/>
      <c r="B263" s="3123"/>
      <c r="C263" s="3124"/>
      <c r="D263" s="3125"/>
      <c r="E263" s="2354" t="s">
        <v>693</v>
      </c>
      <c r="F263" s="2355">
        <f t="shared" si="26"/>
        <v>0</v>
      </c>
      <c r="G263" s="2355"/>
      <c r="H263" s="2355"/>
      <c r="I263" s="2355"/>
      <c r="J263" s="2356"/>
      <c r="K263" s="2334"/>
    </row>
    <row r="264" spans="1:11" s="2333" customFormat="1" ht="15" hidden="1" customHeight="1">
      <c r="A264" s="3122"/>
      <c r="B264" s="3123"/>
      <c r="C264" s="3124"/>
      <c r="D264" s="3125"/>
      <c r="E264" s="2354" t="s">
        <v>601</v>
      </c>
      <c r="F264" s="2355">
        <f t="shared" si="26"/>
        <v>0</v>
      </c>
      <c r="G264" s="2355"/>
      <c r="H264" s="2355"/>
      <c r="I264" s="2355"/>
      <c r="J264" s="2356"/>
      <c r="K264" s="2334"/>
    </row>
    <row r="265" spans="1:11" s="2333" customFormat="1" ht="15" hidden="1" customHeight="1">
      <c r="A265" s="3122"/>
      <c r="B265" s="3123"/>
      <c r="C265" s="3124"/>
      <c r="D265" s="3125"/>
      <c r="E265" s="2354" t="s">
        <v>558</v>
      </c>
      <c r="F265" s="2355">
        <f t="shared" si="26"/>
        <v>0</v>
      </c>
      <c r="G265" s="2355"/>
      <c r="H265" s="2355"/>
      <c r="I265" s="2355"/>
      <c r="J265" s="2356"/>
      <c r="K265" s="2334"/>
    </row>
    <row r="266" spans="1:11" s="2333" customFormat="1" ht="15" hidden="1" customHeight="1">
      <c r="A266" s="3122"/>
      <c r="B266" s="3123"/>
      <c r="C266" s="3124"/>
      <c r="D266" s="3125"/>
      <c r="E266" s="2354" t="s">
        <v>790</v>
      </c>
      <c r="F266" s="2355">
        <f t="shared" si="26"/>
        <v>0</v>
      </c>
      <c r="G266" s="2355"/>
      <c r="H266" s="2355"/>
      <c r="I266" s="2355"/>
      <c r="J266" s="2356"/>
      <c r="K266" s="2334"/>
    </row>
    <row r="267" spans="1:11" s="2333" customFormat="1" ht="15" hidden="1" customHeight="1">
      <c r="A267" s="3122"/>
      <c r="B267" s="3123"/>
      <c r="C267" s="3124"/>
      <c r="D267" s="3125"/>
      <c r="E267" s="2354" t="s">
        <v>719</v>
      </c>
      <c r="F267" s="2355">
        <f>SUM(G267:J267)</f>
        <v>0</v>
      </c>
      <c r="G267" s="2355"/>
      <c r="H267" s="2355"/>
      <c r="I267" s="2355"/>
      <c r="J267" s="2356"/>
      <c r="K267" s="2334"/>
    </row>
    <row r="268" spans="1:11" s="2333" customFormat="1" ht="15" hidden="1" customHeight="1">
      <c r="A268" s="3122"/>
      <c r="B268" s="3123"/>
      <c r="C268" s="3124"/>
      <c r="D268" s="3125"/>
      <c r="E268" s="2367" t="s">
        <v>1130</v>
      </c>
      <c r="F268" s="2362">
        <f>SUM(F269:F270)</f>
        <v>0</v>
      </c>
      <c r="G268" s="2362">
        <f>SUM(G269:G270)</f>
        <v>0</v>
      </c>
      <c r="H268" s="2362">
        <f>SUM(H269:H270)</f>
        <v>0</v>
      </c>
      <c r="I268" s="2362">
        <f>SUM(I269:I270)</f>
        <v>0</v>
      </c>
      <c r="J268" s="2363">
        <f>SUM(J269:J270)</f>
        <v>0</v>
      </c>
    </row>
    <row r="269" spans="1:11" s="2333" customFormat="1" ht="15" hidden="1" customHeight="1">
      <c r="A269" s="2350"/>
      <c r="B269" s="2351"/>
      <c r="C269" s="2352"/>
      <c r="D269" s="2353"/>
      <c r="E269" s="2354"/>
      <c r="F269" s="2355">
        <f>SUM(G269:J269)</f>
        <v>0</v>
      </c>
      <c r="G269" s="2355"/>
      <c r="H269" s="2355"/>
      <c r="I269" s="2355"/>
      <c r="J269" s="2356"/>
    </row>
    <row r="270" spans="1:11" s="2333" customFormat="1" ht="15" hidden="1" customHeight="1">
      <c r="A270" s="2350"/>
      <c r="B270" s="2351"/>
      <c r="C270" s="2352"/>
      <c r="D270" s="2353"/>
      <c r="E270" s="2368"/>
      <c r="F270" s="2355">
        <f t="shared" ref="F270" si="27">SUM(G270:J270)</f>
        <v>0</v>
      </c>
      <c r="G270" s="2355"/>
      <c r="H270" s="2355"/>
      <c r="I270" s="2355"/>
      <c r="J270" s="2356"/>
    </row>
    <row r="271" spans="1:11" s="2333" customFormat="1" ht="22.5">
      <c r="A271" s="3115" t="s">
        <v>1162</v>
      </c>
      <c r="B271" s="3116" t="s">
        <v>1163</v>
      </c>
      <c r="C271" s="3117">
        <v>854</v>
      </c>
      <c r="D271" s="3118" t="s">
        <v>866</v>
      </c>
      <c r="E271" s="2330" t="s">
        <v>1129</v>
      </c>
      <c r="F271" s="2331">
        <f>SUM(F272,F291)</f>
        <v>1173000</v>
      </c>
      <c r="G271" s="2331">
        <f>SUM(G272,G291)</f>
        <v>58650</v>
      </c>
      <c r="H271" s="2331">
        <f>SUM(H272,H291)</f>
        <v>997050</v>
      </c>
      <c r="I271" s="2331">
        <f>SUM(I272,I291)</f>
        <v>117300</v>
      </c>
      <c r="J271" s="2332">
        <f>SUM(J272,J291)</f>
        <v>0</v>
      </c>
    </row>
    <row r="272" spans="1:11" s="2333" customFormat="1" ht="21">
      <c r="A272" s="3115"/>
      <c r="B272" s="3116"/>
      <c r="C272" s="3117"/>
      <c r="D272" s="3118"/>
      <c r="E272" s="2335" t="s">
        <v>1135</v>
      </c>
      <c r="F272" s="2336">
        <f>SUM(F273,F280)</f>
        <v>1173000</v>
      </c>
      <c r="G272" s="2336">
        <f>SUM(G273,G280)</f>
        <v>58650</v>
      </c>
      <c r="H272" s="2336">
        <f>SUM(H273,H280)</f>
        <v>997050</v>
      </c>
      <c r="I272" s="2336">
        <f>SUM(I273,I280)</f>
        <v>117300</v>
      </c>
      <c r="J272" s="2337">
        <f>SUM(J273,J280)</f>
        <v>0</v>
      </c>
    </row>
    <row r="273" spans="1:10" s="2333" customFormat="1" ht="22.5">
      <c r="A273" s="3115"/>
      <c r="B273" s="3116"/>
      <c r="C273" s="3117"/>
      <c r="D273" s="3118"/>
      <c r="E273" s="2347" t="s">
        <v>1136</v>
      </c>
      <c r="F273" s="2348">
        <f>SUM(F274:F279)</f>
        <v>137700</v>
      </c>
      <c r="G273" s="2348">
        <f>SUM(G274:G279)</f>
        <v>6886</v>
      </c>
      <c r="H273" s="2348">
        <f>SUM(H274:H279)</f>
        <v>117044</v>
      </c>
      <c r="I273" s="2348">
        <f>SUM(I274:I279)</f>
        <v>13770</v>
      </c>
      <c r="J273" s="2349">
        <f>SUM(J274:J279)</f>
        <v>0</v>
      </c>
    </row>
    <row r="274" spans="1:10" s="2333" customFormat="1" ht="15" customHeight="1">
      <c r="A274" s="3115"/>
      <c r="B274" s="3116"/>
      <c r="C274" s="3117"/>
      <c r="D274" s="3118"/>
      <c r="E274" s="2338" t="s">
        <v>596</v>
      </c>
      <c r="F274" s="2339">
        <f>SUM(G274:J274)</f>
        <v>97678</v>
      </c>
      <c r="G274" s="2339"/>
      <c r="H274" s="2339">
        <v>97678</v>
      </c>
      <c r="I274" s="2339"/>
      <c r="J274" s="2340"/>
    </row>
    <row r="275" spans="1:10" s="2333" customFormat="1" ht="15" customHeight="1">
      <c r="A275" s="3115"/>
      <c r="B275" s="3116"/>
      <c r="C275" s="3117"/>
      <c r="D275" s="3118"/>
      <c r="E275" s="2338" t="s">
        <v>541</v>
      </c>
      <c r="F275" s="2339">
        <f t="shared" ref="F275:F277" si="28">SUM(G275:J275)</f>
        <v>17237</v>
      </c>
      <c r="G275" s="2339">
        <v>5746</v>
      </c>
      <c r="H275" s="2339"/>
      <c r="I275" s="2339">
        <v>11491</v>
      </c>
      <c r="J275" s="2340"/>
    </row>
    <row r="276" spans="1:10" s="2333" customFormat="1" ht="15" customHeight="1">
      <c r="A276" s="3115"/>
      <c r="B276" s="3116"/>
      <c r="C276" s="3117"/>
      <c r="D276" s="3118"/>
      <c r="E276" s="2338" t="s">
        <v>598</v>
      </c>
      <c r="F276" s="2339">
        <f t="shared" si="28"/>
        <v>16974</v>
      </c>
      <c r="G276" s="2339"/>
      <c r="H276" s="2339">
        <v>16974</v>
      </c>
      <c r="I276" s="2339"/>
      <c r="J276" s="2340"/>
    </row>
    <row r="277" spans="1:10" s="2333" customFormat="1" ht="15" customHeight="1">
      <c r="A277" s="3115"/>
      <c r="B277" s="3116"/>
      <c r="C277" s="3117"/>
      <c r="D277" s="3118"/>
      <c r="E277" s="2338" t="s">
        <v>545</v>
      </c>
      <c r="F277" s="2339">
        <f t="shared" si="28"/>
        <v>2996</v>
      </c>
      <c r="G277" s="2339">
        <v>999</v>
      </c>
      <c r="H277" s="2339"/>
      <c r="I277" s="2339">
        <v>1997</v>
      </c>
      <c r="J277" s="2340"/>
    </row>
    <row r="278" spans="1:10" s="2333" customFormat="1" ht="15" customHeight="1">
      <c r="A278" s="3115"/>
      <c r="B278" s="3116"/>
      <c r="C278" s="3117"/>
      <c r="D278" s="3118"/>
      <c r="E278" s="2338" t="s">
        <v>599</v>
      </c>
      <c r="F278" s="2339">
        <f>SUM(G278:J278)</f>
        <v>2392</v>
      </c>
      <c r="G278" s="2339"/>
      <c r="H278" s="2339">
        <v>2392</v>
      </c>
      <c r="I278" s="2339"/>
      <c r="J278" s="2340"/>
    </row>
    <row r="279" spans="1:10" s="2333" customFormat="1" ht="15" customHeight="1">
      <c r="A279" s="3115"/>
      <c r="B279" s="3116"/>
      <c r="C279" s="3117"/>
      <c r="D279" s="3118"/>
      <c r="E279" s="2338" t="s">
        <v>547</v>
      </c>
      <c r="F279" s="2339">
        <f>SUM(G279:J279)</f>
        <v>423</v>
      </c>
      <c r="G279" s="2339">
        <v>141</v>
      </c>
      <c r="H279" s="2339"/>
      <c r="I279" s="2339">
        <v>282</v>
      </c>
      <c r="J279" s="2340"/>
    </row>
    <row r="280" spans="1:10" s="2333" customFormat="1" ht="22.5">
      <c r="A280" s="3115"/>
      <c r="B280" s="3116"/>
      <c r="C280" s="3117"/>
      <c r="D280" s="3118"/>
      <c r="E280" s="2347" t="s">
        <v>1137</v>
      </c>
      <c r="F280" s="2348">
        <f>SUM(F281:F290)</f>
        <v>1035300</v>
      </c>
      <c r="G280" s="2348">
        <f>SUM(G281:G290)</f>
        <v>51764</v>
      </c>
      <c r="H280" s="2348">
        <f>SUM(H281:H290)</f>
        <v>880006</v>
      </c>
      <c r="I280" s="2348">
        <f>SUM(I281:I290)</f>
        <v>103530</v>
      </c>
      <c r="J280" s="2349">
        <f>SUM(J281:J290)</f>
        <v>0</v>
      </c>
    </row>
    <row r="281" spans="1:10" s="2333" customFormat="1" ht="15" customHeight="1">
      <c r="A281" s="3115"/>
      <c r="B281" s="3116"/>
      <c r="C281" s="3117"/>
      <c r="D281" s="3118"/>
      <c r="E281" s="2338" t="s">
        <v>778</v>
      </c>
      <c r="F281" s="2339">
        <f>SUM(G281:J281)</f>
        <v>867000</v>
      </c>
      <c r="G281" s="2339"/>
      <c r="H281" s="2339">
        <v>867000</v>
      </c>
      <c r="I281" s="2339"/>
      <c r="J281" s="2340"/>
    </row>
    <row r="282" spans="1:10" s="2333" customFormat="1" ht="15" customHeight="1">
      <c r="A282" s="3115"/>
      <c r="B282" s="3116"/>
      <c r="C282" s="3117"/>
      <c r="D282" s="3118"/>
      <c r="E282" s="2338" t="s">
        <v>779</v>
      </c>
      <c r="F282" s="2339">
        <f t="shared" ref="F282:F289" si="29">SUM(G282:J282)</f>
        <v>153000</v>
      </c>
      <c r="G282" s="2339">
        <v>51000</v>
      </c>
      <c r="H282" s="2339"/>
      <c r="I282" s="2339">
        <v>102000</v>
      </c>
      <c r="J282" s="2340"/>
    </row>
    <row r="283" spans="1:10" s="2333" customFormat="1" ht="15" customHeight="1">
      <c r="A283" s="3115"/>
      <c r="B283" s="3116"/>
      <c r="C283" s="3117"/>
      <c r="D283" s="3118"/>
      <c r="E283" s="2338" t="s">
        <v>600</v>
      </c>
      <c r="F283" s="2339">
        <f t="shared" si="29"/>
        <v>7803</v>
      </c>
      <c r="G283" s="2339"/>
      <c r="H283" s="2339">
        <v>7803</v>
      </c>
      <c r="I283" s="2339"/>
      <c r="J283" s="2340"/>
    </row>
    <row r="284" spans="1:10" s="2333" customFormat="1" ht="15" customHeight="1">
      <c r="A284" s="3115"/>
      <c r="B284" s="3116"/>
      <c r="C284" s="3117"/>
      <c r="D284" s="3118"/>
      <c r="E284" s="2338" t="s">
        <v>554</v>
      </c>
      <c r="F284" s="2339">
        <f t="shared" si="29"/>
        <v>1377</v>
      </c>
      <c r="G284" s="2339">
        <v>459</v>
      </c>
      <c r="H284" s="2339"/>
      <c r="I284" s="2339">
        <v>918</v>
      </c>
      <c r="J284" s="2340"/>
    </row>
    <row r="285" spans="1:10" s="2333" customFormat="1" ht="15" customHeight="1">
      <c r="A285" s="3115"/>
      <c r="B285" s="3116"/>
      <c r="C285" s="3117"/>
      <c r="D285" s="3118"/>
      <c r="E285" s="2338" t="s">
        <v>786</v>
      </c>
      <c r="F285" s="2339">
        <f t="shared" si="29"/>
        <v>2601</v>
      </c>
      <c r="G285" s="2339"/>
      <c r="H285" s="2339">
        <v>2601</v>
      </c>
      <c r="I285" s="2339"/>
      <c r="J285" s="2340"/>
    </row>
    <row r="286" spans="1:10" s="2333" customFormat="1" ht="15" customHeight="1">
      <c r="A286" s="3115"/>
      <c r="B286" s="3116"/>
      <c r="C286" s="3117"/>
      <c r="D286" s="3118"/>
      <c r="E286" s="2338" t="s">
        <v>693</v>
      </c>
      <c r="F286" s="2339">
        <f t="shared" si="29"/>
        <v>459</v>
      </c>
      <c r="G286" s="2339">
        <v>153</v>
      </c>
      <c r="H286" s="2339"/>
      <c r="I286" s="2339">
        <v>306</v>
      </c>
      <c r="J286" s="2340"/>
    </row>
    <row r="287" spans="1:10" s="2333" customFormat="1" ht="15" customHeight="1">
      <c r="A287" s="3115"/>
      <c r="B287" s="3116"/>
      <c r="C287" s="3117"/>
      <c r="D287" s="3118"/>
      <c r="E287" s="2338" t="s">
        <v>601</v>
      </c>
      <c r="F287" s="2339">
        <f t="shared" si="29"/>
        <v>1301</v>
      </c>
      <c r="G287" s="2339"/>
      <c r="H287" s="2339">
        <v>1301</v>
      </c>
      <c r="I287" s="2339"/>
      <c r="J287" s="2340"/>
    </row>
    <row r="288" spans="1:10" s="2333" customFormat="1" ht="15" customHeight="1">
      <c r="A288" s="3115"/>
      <c r="B288" s="3116"/>
      <c r="C288" s="3117"/>
      <c r="D288" s="3118"/>
      <c r="E288" s="2338" t="s">
        <v>558</v>
      </c>
      <c r="F288" s="2339">
        <f t="shared" si="29"/>
        <v>229</v>
      </c>
      <c r="G288" s="2339">
        <v>76</v>
      </c>
      <c r="H288" s="2339"/>
      <c r="I288" s="2339">
        <v>153</v>
      </c>
      <c r="J288" s="2340"/>
    </row>
    <row r="289" spans="1:11" s="2333" customFormat="1" ht="15" customHeight="1">
      <c r="A289" s="3115"/>
      <c r="B289" s="3116"/>
      <c r="C289" s="3117"/>
      <c r="D289" s="3118"/>
      <c r="E289" s="2338" t="s">
        <v>790</v>
      </c>
      <c r="F289" s="2339">
        <f t="shared" si="29"/>
        <v>1301</v>
      </c>
      <c r="G289" s="2339"/>
      <c r="H289" s="2339">
        <v>1301</v>
      </c>
      <c r="I289" s="2339"/>
      <c r="J289" s="2340"/>
    </row>
    <row r="290" spans="1:11" s="2333" customFormat="1" ht="15" customHeight="1">
      <c r="A290" s="3115"/>
      <c r="B290" s="3116"/>
      <c r="C290" s="3117"/>
      <c r="D290" s="3118"/>
      <c r="E290" s="2338" t="s">
        <v>719</v>
      </c>
      <c r="F290" s="2339">
        <f>SUM(G290:J290)</f>
        <v>229</v>
      </c>
      <c r="G290" s="2339">
        <v>76</v>
      </c>
      <c r="H290" s="2339"/>
      <c r="I290" s="2339">
        <v>153</v>
      </c>
      <c r="J290" s="2340"/>
    </row>
    <row r="291" spans="1:11" s="2333" customFormat="1" ht="15" customHeight="1">
      <c r="A291" s="3115"/>
      <c r="B291" s="3116"/>
      <c r="C291" s="3117"/>
      <c r="D291" s="3118"/>
      <c r="E291" s="2341" t="s">
        <v>1130</v>
      </c>
      <c r="F291" s="2336">
        <f>SUM(F292:F293)</f>
        <v>0</v>
      </c>
      <c r="G291" s="2336">
        <f>SUM(G292:G293)</f>
        <v>0</v>
      </c>
      <c r="H291" s="2336">
        <f>SUM(H292:H293)</f>
        <v>0</v>
      </c>
      <c r="I291" s="2336">
        <f>SUM(I292:I293)</f>
        <v>0</v>
      </c>
      <c r="J291" s="2337">
        <f>SUM(J292:J293)</f>
        <v>0</v>
      </c>
    </row>
    <row r="292" spans="1:11" s="2333" customFormat="1" ht="15" hidden="1" customHeight="1">
      <c r="A292" s="2350"/>
      <c r="B292" s="2351"/>
      <c r="C292" s="2352"/>
      <c r="D292" s="2353"/>
      <c r="E292" s="2354"/>
      <c r="F292" s="2355">
        <f>SUM(G292:J292)</f>
        <v>0</v>
      </c>
      <c r="G292" s="2355"/>
      <c r="H292" s="2355"/>
      <c r="I292" s="2355"/>
      <c r="J292" s="2356"/>
    </row>
    <row r="293" spans="1:11" s="2333" customFormat="1" ht="15" hidden="1" customHeight="1">
      <c r="A293" s="2350"/>
      <c r="B293" s="2351"/>
      <c r="C293" s="2352"/>
      <c r="D293" s="2353"/>
      <c r="E293" s="2368"/>
      <c r="F293" s="2355">
        <f>SUM(G293:J293)</f>
        <v>0</v>
      </c>
      <c r="G293" s="2355"/>
      <c r="H293" s="2355"/>
      <c r="I293" s="2355"/>
      <c r="J293" s="2356"/>
    </row>
    <row r="294" spans="1:11" s="2333" customFormat="1" ht="22.5">
      <c r="A294" s="3115" t="s">
        <v>1164</v>
      </c>
      <c r="B294" s="3116" t="s">
        <v>1165</v>
      </c>
      <c r="C294" s="3117">
        <v>854</v>
      </c>
      <c r="D294" s="3118" t="s">
        <v>866</v>
      </c>
      <c r="E294" s="2330" t="s">
        <v>1129</v>
      </c>
      <c r="F294" s="2331">
        <f>SUM(F295,F314)</f>
        <v>648000</v>
      </c>
      <c r="G294" s="2331">
        <f>SUM(G295,G314)</f>
        <v>64800</v>
      </c>
      <c r="H294" s="2331">
        <f>SUM(H295,H314)</f>
        <v>550800</v>
      </c>
      <c r="I294" s="2331">
        <f>SUM(I295,I314)</f>
        <v>32400</v>
      </c>
      <c r="J294" s="2332">
        <f>SUM(J295,J314)</f>
        <v>0</v>
      </c>
    </row>
    <row r="295" spans="1:11" s="2333" customFormat="1" ht="21">
      <c r="A295" s="3115"/>
      <c r="B295" s="3116"/>
      <c r="C295" s="3117"/>
      <c r="D295" s="3118"/>
      <c r="E295" s="2335" t="s">
        <v>1135</v>
      </c>
      <c r="F295" s="2336">
        <f>SUM(F296,F303)</f>
        <v>648000</v>
      </c>
      <c r="G295" s="2336">
        <f>SUM(G296,G303)</f>
        <v>64800</v>
      </c>
      <c r="H295" s="2336">
        <f>SUM(H296,H303)</f>
        <v>550800</v>
      </c>
      <c r="I295" s="2336">
        <f>SUM(I296,I303)</f>
        <v>32400</v>
      </c>
      <c r="J295" s="2337">
        <f>SUM(J296,J303)</f>
        <v>0</v>
      </c>
    </row>
    <row r="296" spans="1:11" s="2333" customFormat="1" ht="22.5">
      <c r="A296" s="3115"/>
      <c r="B296" s="3116"/>
      <c r="C296" s="3117"/>
      <c r="D296" s="3118"/>
      <c r="E296" s="2347" t="s">
        <v>1136</v>
      </c>
      <c r="F296" s="2348">
        <f>SUM(F297:F302)</f>
        <v>97200</v>
      </c>
      <c r="G296" s="2348">
        <f>SUM(G297:G302)</f>
        <v>9720</v>
      </c>
      <c r="H296" s="2348">
        <f>SUM(H297:H302)</f>
        <v>82620</v>
      </c>
      <c r="I296" s="2348">
        <f>SUM(I297:I302)</f>
        <v>4860</v>
      </c>
      <c r="J296" s="2349">
        <f>SUM(J297:J302)</f>
        <v>0</v>
      </c>
    </row>
    <row r="297" spans="1:11" s="2333" customFormat="1" ht="15" customHeight="1">
      <c r="A297" s="3115"/>
      <c r="B297" s="3116"/>
      <c r="C297" s="3117"/>
      <c r="D297" s="3118"/>
      <c r="E297" s="2338" t="s">
        <v>596</v>
      </c>
      <c r="F297" s="2339">
        <f>SUM(G297:J297)</f>
        <v>68946</v>
      </c>
      <c r="G297" s="2339"/>
      <c r="H297" s="2339">
        <v>68946</v>
      </c>
      <c r="I297" s="2339"/>
      <c r="J297" s="2340"/>
      <c r="K297" s="2334"/>
    </row>
    <row r="298" spans="1:11" s="2333" customFormat="1" ht="15" customHeight="1">
      <c r="A298" s="3115"/>
      <c r="B298" s="3116"/>
      <c r="C298" s="3117"/>
      <c r="D298" s="3118"/>
      <c r="E298" s="2338" t="s">
        <v>541</v>
      </c>
      <c r="F298" s="2339">
        <f t="shared" ref="F298:F300" si="30">SUM(G298:J298)</f>
        <v>12167</v>
      </c>
      <c r="G298" s="2339">
        <v>8111</v>
      </c>
      <c r="H298" s="2339"/>
      <c r="I298" s="2339">
        <v>4056</v>
      </c>
      <c r="J298" s="2340"/>
      <c r="K298" s="2334"/>
    </row>
    <row r="299" spans="1:11" s="2333" customFormat="1" ht="15" customHeight="1">
      <c r="A299" s="3115"/>
      <c r="B299" s="3116"/>
      <c r="C299" s="3117"/>
      <c r="D299" s="3118"/>
      <c r="E299" s="2338" t="s">
        <v>598</v>
      </c>
      <c r="F299" s="2339">
        <f t="shared" si="30"/>
        <v>11980</v>
      </c>
      <c r="G299" s="2339"/>
      <c r="H299" s="2339">
        <v>11980</v>
      </c>
      <c r="I299" s="2339"/>
      <c r="J299" s="2340"/>
      <c r="K299" s="2334"/>
    </row>
    <row r="300" spans="1:11" s="2333" customFormat="1" ht="15" customHeight="1">
      <c r="A300" s="3115"/>
      <c r="B300" s="3116"/>
      <c r="C300" s="3117"/>
      <c r="D300" s="3118"/>
      <c r="E300" s="2338" t="s">
        <v>545</v>
      </c>
      <c r="F300" s="2339">
        <f t="shared" si="30"/>
        <v>2114</v>
      </c>
      <c r="G300" s="2339">
        <v>1410</v>
      </c>
      <c r="H300" s="2339"/>
      <c r="I300" s="2339">
        <v>704</v>
      </c>
      <c r="J300" s="2340"/>
      <c r="K300" s="2334"/>
    </row>
    <row r="301" spans="1:11" s="2333" customFormat="1" ht="15" customHeight="1">
      <c r="A301" s="3115"/>
      <c r="B301" s="3116"/>
      <c r="C301" s="3117"/>
      <c r="D301" s="3118"/>
      <c r="E301" s="2338" t="s">
        <v>599</v>
      </c>
      <c r="F301" s="2339">
        <f>SUM(G301:J301)</f>
        <v>1694</v>
      </c>
      <c r="G301" s="2339"/>
      <c r="H301" s="2339">
        <v>1694</v>
      </c>
      <c r="I301" s="2339"/>
      <c r="J301" s="2340"/>
      <c r="K301" s="2334"/>
    </row>
    <row r="302" spans="1:11" s="2333" customFormat="1" ht="15" customHeight="1">
      <c r="A302" s="3115"/>
      <c r="B302" s="3116"/>
      <c r="C302" s="3117"/>
      <c r="D302" s="3118"/>
      <c r="E302" s="2338" t="s">
        <v>547</v>
      </c>
      <c r="F302" s="2339">
        <f>SUM(G302:J302)</f>
        <v>299</v>
      </c>
      <c r="G302" s="2339">
        <v>199</v>
      </c>
      <c r="H302" s="2339"/>
      <c r="I302" s="2339">
        <v>100</v>
      </c>
      <c r="J302" s="2340"/>
      <c r="K302" s="2334"/>
    </row>
    <row r="303" spans="1:11" s="2333" customFormat="1" ht="22.5">
      <c r="A303" s="3115"/>
      <c r="B303" s="3116"/>
      <c r="C303" s="3117"/>
      <c r="D303" s="3118"/>
      <c r="E303" s="2347" t="s">
        <v>1137</v>
      </c>
      <c r="F303" s="2348">
        <f>SUM(F304:F313)</f>
        <v>550800</v>
      </c>
      <c r="G303" s="2348">
        <f>SUM(G304:G313)</f>
        <v>55080</v>
      </c>
      <c r="H303" s="2348">
        <f>SUM(H304:H313)</f>
        <v>468180</v>
      </c>
      <c r="I303" s="2348">
        <f>SUM(I304:I313)</f>
        <v>27540</v>
      </c>
      <c r="J303" s="2349">
        <f>SUM(J304:J313)</f>
        <v>0</v>
      </c>
      <c r="K303" s="2334"/>
    </row>
    <row r="304" spans="1:11" s="2333" customFormat="1" ht="15" customHeight="1">
      <c r="A304" s="3115"/>
      <c r="B304" s="3116"/>
      <c r="C304" s="3117"/>
      <c r="D304" s="3118"/>
      <c r="E304" s="2338" t="s">
        <v>778</v>
      </c>
      <c r="F304" s="2339">
        <f>SUM(G304:J304)</f>
        <v>459000</v>
      </c>
      <c r="G304" s="2339"/>
      <c r="H304" s="2339">
        <v>459000</v>
      </c>
      <c r="I304" s="2339"/>
      <c r="J304" s="2340"/>
      <c r="K304" s="2334"/>
    </row>
    <row r="305" spans="1:11" s="2333" customFormat="1" ht="15" customHeight="1">
      <c r="A305" s="3115"/>
      <c r="B305" s="3116"/>
      <c r="C305" s="3117"/>
      <c r="D305" s="3118"/>
      <c r="E305" s="2338" t="s">
        <v>779</v>
      </c>
      <c r="F305" s="2339">
        <f t="shared" ref="F305:F312" si="31">SUM(G305:J305)</f>
        <v>81000</v>
      </c>
      <c r="G305" s="2339">
        <v>54000</v>
      </c>
      <c r="H305" s="2339"/>
      <c r="I305" s="2339">
        <v>27000</v>
      </c>
      <c r="J305" s="2340"/>
      <c r="K305" s="2334"/>
    </row>
    <row r="306" spans="1:11" s="2333" customFormat="1" ht="15" customHeight="1">
      <c r="A306" s="3115"/>
      <c r="B306" s="3116"/>
      <c r="C306" s="3117"/>
      <c r="D306" s="3118"/>
      <c r="E306" s="2338" t="s">
        <v>600</v>
      </c>
      <c r="F306" s="2339">
        <f t="shared" si="31"/>
        <v>5508</v>
      </c>
      <c r="G306" s="2339"/>
      <c r="H306" s="2339">
        <v>5508</v>
      </c>
      <c r="I306" s="2339"/>
      <c r="J306" s="2340"/>
      <c r="K306" s="2334"/>
    </row>
    <row r="307" spans="1:11" s="2333" customFormat="1" ht="15" customHeight="1">
      <c r="A307" s="3115"/>
      <c r="B307" s="3116"/>
      <c r="C307" s="3117"/>
      <c r="D307" s="3118"/>
      <c r="E307" s="2338" t="s">
        <v>554</v>
      </c>
      <c r="F307" s="2339">
        <f t="shared" si="31"/>
        <v>972</v>
      </c>
      <c r="G307" s="2339">
        <v>648</v>
      </c>
      <c r="H307" s="2339"/>
      <c r="I307" s="2339">
        <v>324</v>
      </c>
      <c r="J307" s="2340"/>
      <c r="K307" s="2334"/>
    </row>
    <row r="308" spans="1:11" s="2333" customFormat="1" ht="15" customHeight="1">
      <c r="A308" s="3115"/>
      <c r="B308" s="3116"/>
      <c r="C308" s="3117"/>
      <c r="D308" s="3118"/>
      <c r="E308" s="2338" t="s">
        <v>786</v>
      </c>
      <c r="F308" s="2339">
        <f t="shared" si="31"/>
        <v>1836</v>
      </c>
      <c r="G308" s="2339"/>
      <c r="H308" s="2339">
        <v>1836</v>
      </c>
      <c r="I308" s="2339"/>
      <c r="J308" s="2340"/>
      <c r="K308" s="2334"/>
    </row>
    <row r="309" spans="1:11" s="2333" customFormat="1" ht="15" customHeight="1">
      <c r="A309" s="3115"/>
      <c r="B309" s="3116"/>
      <c r="C309" s="3117"/>
      <c r="D309" s="3118"/>
      <c r="E309" s="2338" t="s">
        <v>693</v>
      </c>
      <c r="F309" s="2339">
        <f t="shared" si="31"/>
        <v>324</v>
      </c>
      <c r="G309" s="2339">
        <v>216</v>
      </c>
      <c r="H309" s="2339"/>
      <c r="I309" s="2339">
        <v>108</v>
      </c>
      <c r="J309" s="2340"/>
      <c r="K309" s="2334"/>
    </row>
    <row r="310" spans="1:11" s="2333" customFormat="1" ht="15" customHeight="1">
      <c r="A310" s="3115"/>
      <c r="B310" s="3116"/>
      <c r="C310" s="3117"/>
      <c r="D310" s="3118"/>
      <c r="E310" s="2338" t="s">
        <v>601</v>
      </c>
      <c r="F310" s="2339">
        <f t="shared" si="31"/>
        <v>918</v>
      </c>
      <c r="G310" s="2339"/>
      <c r="H310" s="2339">
        <v>918</v>
      </c>
      <c r="I310" s="2339"/>
      <c r="J310" s="2340"/>
      <c r="K310" s="2334"/>
    </row>
    <row r="311" spans="1:11" s="2333" customFormat="1" ht="15" customHeight="1">
      <c r="A311" s="3115"/>
      <c r="B311" s="3116"/>
      <c r="C311" s="3117"/>
      <c r="D311" s="3118"/>
      <c r="E311" s="2338" t="s">
        <v>558</v>
      </c>
      <c r="F311" s="2339">
        <f t="shared" si="31"/>
        <v>162</v>
      </c>
      <c r="G311" s="2339">
        <v>108</v>
      </c>
      <c r="H311" s="2339"/>
      <c r="I311" s="2339">
        <v>54</v>
      </c>
      <c r="J311" s="2340"/>
      <c r="K311" s="2334"/>
    </row>
    <row r="312" spans="1:11" s="2333" customFormat="1" ht="15" customHeight="1">
      <c r="A312" s="3115"/>
      <c r="B312" s="3116"/>
      <c r="C312" s="3117"/>
      <c r="D312" s="3118"/>
      <c r="E312" s="2338" t="s">
        <v>790</v>
      </c>
      <c r="F312" s="2339">
        <f t="shared" si="31"/>
        <v>918</v>
      </c>
      <c r="G312" s="2339"/>
      <c r="H312" s="2339">
        <v>918</v>
      </c>
      <c r="I312" s="2339"/>
      <c r="J312" s="2340"/>
      <c r="K312" s="2334"/>
    </row>
    <row r="313" spans="1:11" s="2333" customFormat="1" ht="15" customHeight="1">
      <c r="A313" s="3115"/>
      <c r="B313" s="3116"/>
      <c r="C313" s="3117"/>
      <c r="D313" s="3118"/>
      <c r="E313" s="2338" t="s">
        <v>719</v>
      </c>
      <c r="F313" s="2339">
        <f>SUM(G313:J313)</f>
        <v>162</v>
      </c>
      <c r="G313" s="2339">
        <v>108</v>
      </c>
      <c r="H313" s="2339"/>
      <c r="I313" s="2339">
        <v>54</v>
      </c>
      <c r="J313" s="2340"/>
      <c r="K313" s="2334"/>
    </row>
    <row r="314" spans="1:11" s="2333" customFormat="1" ht="15" customHeight="1">
      <c r="A314" s="3115"/>
      <c r="B314" s="3116"/>
      <c r="C314" s="3117"/>
      <c r="D314" s="3118"/>
      <c r="E314" s="2341" t="s">
        <v>1130</v>
      </c>
      <c r="F314" s="2336">
        <f>SUM(F315:F316)</f>
        <v>0</v>
      </c>
      <c r="G314" s="2336">
        <f>SUM(G315:G316)</f>
        <v>0</v>
      </c>
      <c r="H314" s="2336">
        <f>SUM(H315:H316)</f>
        <v>0</v>
      </c>
      <c r="I314" s="2336">
        <f>SUM(I315:I316)</f>
        <v>0</v>
      </c>
      <c r="J314" s="2337">
        <f>SUM(J315:J316)</f>
        <v>0</v>
      </c>
    </row>
    <row r="315" spans="1:11" s="2333" customFormat="1" ht="15" hidden="1" customHeight="1">
      <c r="A315" s="2350"/>
      <c r="B315" s="2351"/>
      <c r="C315" s="2352"/>
      <c r="D315" s="2353"/>
      <c r="E315" s="2354"/>
      <c r="F315" s="2355">
        <f>SUM(G315:J315)</f>
        <v>0</v>
      </c>
      <c r="G315" s="2355"/>
      <c r="H315" s="2355"/>
      <c r="I315" s="2355"/>
      <c r="J315" s="2356"/>
    </row>
    <row r="316" spans="1:11" s="2333" customFormat="1" ht="15" hidden="1" customHeight="1">
      <c r="A316" s="2350"/>
      <c r="B316" s="2351"/>
      <c r="C316" s="2352"/>
      <c r="D316" s="2353"/>
      <c r="E316" s="2368"/>
      <c r="F316" s="2355">
        <f t="shared" ref="F316" si="32">SUM(G316:J316)</f>
        <v>0</v>
      </c>
      <c r="G316" s="2355"/>
      <c r="H316" s="2355"/>
      <c r="I316" s="2355"/>
      <c r="J316" s="2356"/>
    </row>
    <row r="317" spans="1:11" s="2333" customFormat="1" ht="22.5">
      <c r="A317" s="3115" t="s">
        <v>1166</v>
      </c>
      <c r="B317" s="3116" t="s">
        <v>1167</v>
      </c>
      <c r="C317" s="3117">
        <v>921</v>
      </c>
      <c r="D317" s="3118" t="s">
        <v>895</v>
      </c>
      <c r="E317" s="2330" t="s">
        <v>1129</v>
      </c>
      <c r="F317" s="2331">
        <f>SUM(F318,F325)</f>
        <v>4041296</v>
      </c>
      <c r="G317" s="2331">
        <f>SUM(G318,G325)</f>
        <v>4041296</v>
      </c>
      <c r="H317" s="2331">
        <f>SUM(H318,H325)</f>
        <v>0</v>
      </c>
      <c r="I317" s="2331">
        <f>SUM(I318,I325)</f>
        <v>0</v>
      </c>
      <c r="J317" s="2332">
        <f>SUM(J318,J325)</f>
        <v>0</v>
      </c>
    </row>
    <row r="318" spans="1:11" s="2333" customFormat="1" ht="21">
      <c r="A318" s="3115"/>
      <c r="B318" s="3116"/>
      <c r="C318" s="3117"/>
      <c r="D318" s="3118"/>
      <c r="E318" s="2335" t="s">
        <v>1135</v>
      </c>
      <c r="F318" s="2336">
        <f>SUM(F319,F322)</f>
        <v>0</v>
      </c>
      <c r="G318" s="2336">
        <f>SUM(G319,G322)</f>
        <v>0</v>
      </c>
      <c r="H318" s="2336">
        <f>SUM(H319,H322)</f>
        <v>0</v>
      </c>
      <c r="I318" s="2336">
        <f>SUM(I319,I322)</f>
        <v>0</v>
      </c>
      <c r="J318" s="2337">
        <f>SUM(J319,J322)</f>
        <v>0</v>
      </c>
    </row>
    <row r="319" spans="1:11" s="2333" customFormat="1" ht="15" hidden="1" customHeight="1">
      <c r="A319" s="3115"/>
      <c r="B319" s="3116"/>
      <c r="C319" s="3117"/>
      <c r="D319" s="3118"/>
      <c r="E319" s="2347" t="s">
        <v>1136</v>
      </c>
      <c r="F319" s="2348">
        <f>SUM(F320:F321)</f>
        <v>0</v>
      </c>
      <c r="G319" s="2348">
        <f>SUM(G320:G321)</f>
        <v>0</v>
      </c>
      <c r="H319" s="2348">
        <f>SUM(H320:H321)</f>
        <v>0</v>
      </c>
      <c r="I319" s="2348">
        <f>SUM(I320:I321)</f>
        <v>0</v>
      </c>
      <c r="J319" s="2349">
        <f>SUM(J320:J321)</f>
        <v>0</v>
      </c>
    </row>
    <row r="320" spans="1:11" s="2333" customFormat="1" ht="15" hidden="1" customHeight="1">
      <c r="A320" s="3115"/>
      <c r="B320" s="3116"/>
      <c r="C320" s="3117"/>
      <c r="D320" s="3118"/>
      <c r="E320" s="2338"/>
      <c r="F320" s="2339">
        <f>SUM(G320:J320)</f>
        <v>0</v>
      </c>
      <c r="G320" s="2339"/>
      <c r="H320" s="2339"/>
      <c r="I320" s="2339"/>
      <c r="J320" s="2340"/>
    </row>
    <row r="321" spans="1:10" s="2333" customFormat="1" ht="15" hidden="1" customHeight="1">
      <c r="A321" s="3115"/>
      <c r="B321" s="3116"/>
      <c r="C321" s="3117"/>
      <c r="D321" s="3118"/>
      <c r="E321" s="2338"/>
      <c r="F321" s="2339">
        <f t="shared" ref="F321" si="33">SUM(G321:J321)</f>
        <v>0</v>
      </c>
      <c r="G321" s="2339"/>
      <c r="H321" s="2339"/>
      <c r="I321" s="2339"/>
      <c r="J321" s="2340"/>
    </row>
    <row r="322" spans="1:10" s="2333" customFormat="1" ht="15" hidden="1" customHeight="1">
      <c r="A322" s="3115"/>
      <c r="B322" s="3116"/>
      <c r="C322" s="3117"/>
      <c r="D322" s="3118"/>
      <c r="E322" s="2347" t="s">
        <v>1137</v>
      </c>
      <c r="F322" s="2348">
        <f>SUM(F323:F324)</f>
        <v>0</v>
      </c>
      <c r="G322" s="2348">
        <f>SUM(G323:G324)</f>
        <v>0</v>
      </c>
      <c r="H322" s="2348">
        <f>SUM(H323:H324)</f>
        <v>0</v>
      </c>
      <c r="I322" s="2348">
        <f>SUM(I323:I324)</f>
        <v>0</v>
      </c>
      <c r="J322" s="2349">
        <f>SUM(J323:J324)</f>
        <v>0</v>
      </c>
    </row>
    <row r="323" spans="1:10" s="2333" customFormat="1" ht="15" hidden="1" customHeight="1">
      <c r="A323" s="3115"/>
      <c r="B323" s="3116"/>
      <c r="C323" s="3117"/>
      <c r="D323" s="3118"/>
      <c r="E323" s="2338"/>
      <c r="F323" s="2339">
        <f>SUM(G323:J323)</f>
        <v>0</v>
      </c>
      <c r="G323" s="2339"/>
      <c r="H323" s="2339"/>
      <c r="I323" s="2339"/>
      <c r="J323" s="2340"/>
    </row>
    <row r="324" spans="1:10" s="2333" customFormat="1" ht="15" hidden="1" customHeight="1">
      <c r="A324" s="3115"/>
      <c r="B324" s="3116"/>
      <c r="C324" s="3117"/>
      <c r="D324" s="3118"/>
      <c r="E324" s="2338"/>
      <c r="F324" s="2339">
        <f t="shared" ref="F324" si="34">SUM(G324:J324)</f>
        <v>0</v>
      </c>
      <c r="G324" s="2339">
        <f>140000-140000</f>
        <v>0</v>
      </c>
      <c r="H324" s="2339"/>
      <c r="I324" s="2339"/>
      <c r="J324" s="2340"/>
    </row>
    <row r="325" spans="1:10" s="2333" customFormat="1" ht="15" customHeight="1">
      <c r="A325" s="3115"/>
      <c r="B325" s="3116"/>
      <c r="C325" s="3117"/>
      <c r="D325" s="3118"/>
      <c r="E325" s="2341" t="s">
        <v>1130</v>
      </c>
      <c r="F325" s="2336">
        <f>SUM(F326:F327)</f>
        <v>4041296</v>
      </c>
      <c r="G325" s="2336">
        <f>SUM(G326:G327)</f>
        <v>4041296</v>
      </c>
      <c r="H325" s="2336">
        <f>SUM(H326:H327)</f>
        <v>0</v>
      </c>
      <c r="I325" s="2336">
        <f>SUM(I326:I327)</f>
        <v>0</v>
      </c>
      <c r="J325" s="2337">
        <f>SUM(J326:J327)</f>
        <v>0</v>
      </c>
    </row>
    <row r="326" spans="1:10" s="2333" customFormat="1" ht="15" customHeight="1">
      <c r="A326" s="3115"/>
      <c r="B326" s="3116"/>
      <c r="C326" s="3117"/>
      <c r="D326" s="3118"/>
      <c r="E326" s="2338" t="s">
        <v>811</v>
      </c>
      <c r="F326" s="2339">
        <f>SUM(G326:J326)</f>
        <v>839229</v>
      </c>
      <c r="G326" s="2339">
        <v>839229</v>
      </c>
      <c r="H326" s="2339"/>
      <c r="I326" s="2339"/>
      <c r="J326" s="2340"/>
    </row>
    <row r="327" spans="1:10" s="2333" customFormat="1" ht="15" customHeight="1">
      <c r="A327" s="3115"/>
      <c r="B327" s="3116"/>
      <c r="C327" s="3117"/>
      <c r="D327" s="3118"/>
      <c r="E327" s="2344">
        <v>6229</v>
      </c>
      <c r="F327" s="2339">
        <f t="shared" ref="F327" si="35">SUM(G327:J327)</f>
        <v>3202067</v>
      </c>
      <c r="G327" s="2339">
        <v>3202067</v>
      </c>
      <c r="H327" s="2339"/>
      <c r="I327" s="2339"/>
      <c r="J327" s="2340"/>
    </row>
    <row r="328" spans="1:10" s="2333" customFormat="1" ht="22.5">
      <c r="A328" s="3115" t="s">
        <v>1168</v>
      </c>
      <c r="B328" s="3116" t="s">
        <v>1169</v>
      </c>
      <c r="C328" s="3117">
        <v>921</v>
      </c>
      <c r="D328" s="3118" t="s">
        <v>908</v>
      </c>
      <c r="E328" s="2330" t="s">
        <v>1129</v>
      </c>
      <c r="F328" s="2331">
        <f>SUM(F329,F336)</f>
        <v>2813011</v>
      </c>
      <c r="G328" s="2331">
        <f>SUM(G329,G336)</f>
        <v>421952</v>
      </c>
      <c r="H328" s="2331">
        <f>SUM(H329,H336)</f>
        <v>2391059</v>
      </c>
      <c r="I328" s="2331">
        <f>SUM(I329,I336)</f>
        <v>0</v>
      </c>
      <c r="J328" s="2332">
        <f>SUM(J329,J336)</f>
        <v>0</v>
      </c>
    </row>
    <row r="329" spans="1:10" s="2333" customFormat="1" ht="21">
      <c r="A329" s="3115"/>
      <c r="B329" s="3116"/>
      <c r="C329" s="3117"/>
      <c r="D329" s="3118"/>
      <c r="E329" s="2335" t="s">
        <v>1135</v>
      </c>
      <c r="F329" s="2336">
        <f>SUM(F330,F333)</f>
        <v>0</v>
      </c>
      <c r="G329" s="2336">
        <f>SUM(G330,G333)</f>
        <v>0</v>
      </c>
      <c r="H329" s="2336">
        <f>SUM(H330,H333)</f>
        <v>0</v>
      </c>
      <c r="I329" s="2336">
        <f>SUM(I330,I333)</f>
        <v>0</v>
      </c>
      <c r="J329" s="2337">
        <f>SUM(J330,J333)</f>
        <v>0</v>
      </c>
    </row>
    <row r="330" spans="1:10" s="2333" customFormat="1" ht="15" hidden="1" customHeight="1">
      <c r="A330" s="3115"/>
      <c r="B330" s="3116"/>
      <c r="C330" s="3117"/>
      <c r="D330" s="3118"/>
      <c r="E330" s="2347" t="s">
        <v>1136</v>
      </c>
      <c r="F330" s="2348">
        <f>SUM(F331:F332)</f>
        <v>0</v>
      </c>
      <c r="G330" s="2348">
        <f>SUM(G331:G332)</f>
        <v>0</v>
      </c>
      <c r="H330" s="2348">
        <f>SUM(H331:H332)</f>
        <v>0</v>
      </c>
      <c r="I330" s="2348">
        <f>SUM(I331:I332)</f>
        <v>0</v>
      </c>
      <c r="J330" s="2349">
        <f>SUM(J331:J332)</f>
        <v>0</v>
      </c>
    </row>
    <row r="331" spans="1:10" s="2333" customFormat="1" ht="15" hidden="1" customHeight="1">
      <c r="A331" s="3115"/>
      <c r="B331" s="3116"/>
      <c r="C331" s="3117"/>
      <c r="D331" s="3118"/>
      <c r="E331" s="2338"/>
      <c r="F331" s="2339">
        <f>SUM(G331:J331)</f>
        <v>0</v>
      </c>
      <c r="G331" s="2339"/>
      <c r="H331" s="2339"/>
      <c r="I331" s="2339"/>
      <c r="J331" s="2340"/>
    </row>
    <row r="332" spans="1:10" s="2333" customFormat="1" ht="15" hidden="1" customHeight="1">
      <c r="A332" s="3115"/>
      <c r="B332" s="3116"/>
      <c r="C332" s="3117"/>
      <c r="D332" s="3118"/>
      <c r="E332" s="2338"/>
      <c r="F332" s="2339">
        <f t="shared" ref="F332" si="36">SUM(G332:J332)</f>
        <v>0</v>
      </c>
      <c r="G332" s="2339"/>
      <c r="H332" s="2339"/>
      <c r="I332" s="2339"/>
      <c r="J332" s="2340"/>
    </row>
    <row r="333" spans="1:10" s="2333" customFormat="1" ht="15" hidden="1" customHeight="1">
      <c r="A333" s="3115"/>
      <c r="B333" s="3116"/>
      <c r="C333" s="3117"/>
      <c r="D333" s="3118"/>
      <c r="E333" s="2347" t="s">
        <v>1137</v>
      </c>
      <c r="F333" s="2348">
        <f>SUM(F334:F335)</f>
        <v>0</v>
      </c>
      <c r="G333" s="2348">
        <f>SUM(G334:G335)</f>
        <v>0</v>
      </c>
      <c r="H333" s="2348">
        <f>SUM(H334:H335)</f>
        <v>0</v>
      </c>
      <c r="I333" s="2348">
        <f>SUM(I334:I335)</f>
        <v>0</v>
      </c>
      <c r="J333" s="2349">
        <f>SUM(J334:J335)</f>
        <v>0</v>
      </c>
    </row>
    <row r="334" spans="1:10" s="2333" customFormat="1" ht="15" hidden="1" customHeight="1">
      <c r="A334" s="3115"/>
      <c r="B334" s="3116"/>
      <c r="C334" s="3117"/>
      <c r="D334" s="3118"/>
      <c r="E334" s="2338"/>
      <c r="F334" s="2339">
        <f>SUM(G334:J334)</f>
        <v>0</v>
      </c>
      <c r="G334" s="2339"/>
      <c r="H334" s="2339"/>
      <c r="I334" s="2339"/>
      <c r="J334" s="2340"/>
    </row>
    <row r="335" spans="1:10" s="2333" customFormat="1" ht="15" hidden="1" customHeight="1">
      <c r="A335" s="3115"/>
      <c r="B335" s="3116"/>
      <c r="C335" s="3117"/>
      <c r="D335" s="3118"/>
      <c r="E335" s="2338"/>
      <c r="F335" s="2339">
        <f t="shared" ref="F335" si="37">SUM(G335:J335)</f>
        <v>0</v>
      </c>
      <c r="G335" s="2339">
        <f>140000-140000</f>
        <v>0</v>
      </c>
      <c r="H335" s="2339"/>
      <c r="I335" s="2339"/>
      <c r="J335" s="2340"/>
    </row>
    <row r="336" spans="1:10" s="2333" customFormat="1" ht="15" customHeight="1">
      <c r="A336" s="3115"/>
      <c r="B336" s="3116"/>
      <c r="C336" s="3117"/>
      <c r="D336" s="3118"/>
      <c r="E336" s="2341" t="s">
        <v>1130</v>
      </c>
      <c r="F336" s="2336">
        <f>SUM(F337:F339)</f>
        <v>2813011</v>
      </c>
      <c r="G336" s="2336">
        <f t="shared" ref="G336:J336" si="38">SUM(G337:G339)</f>
        <v>421952</v>
      </c>
      <c r="H336" s="2336">
        <f t="shared" si="38"/>
        <v>2391059</v>
      </c>
      <c r="I336" s="2336">
        <f t="shared" si="38"/>
        <v>0</v>
      </c>
      <c r="J336" s="2337">
        <f t="shared" si="38"/>
        <v>0</v>
      </c>
    </row>
    <row r="337" spans="1:11" s="2333" customFormat="1" ht="15" hidden="1" customHeight="1">
      <c r="A337" s="3115"/>
      <c r="B337" s="3116"/>
      <c r="C337" s="3117"/>
      <c r="D337" s="3118"/>
      <c r="E337" s="2338" t="s">
        <v>531</v>
      </c>
      <c r="F337" s="2339">
        <f>SUM(G337:J337)</f>
        <v>0</v>
      </c>
      <c r="G337" s="2339"/>
      <c r="H337" s="2339"/>
      <c r="I337" s="2339"/>
      <c r="J337" s="2340"/>
    </row>
    <row r="338" spans="1:11" s="2333" customFormat="1" ht="15" customHeight="1">
      <c r="A338" s="3115"/>
      <c r="B338" s="3116"/>
      <c r="C338" s="3117"/>
      <c r="D338" s="3118"/>
      <c r="E338" s="2338" t="s">
        <v>625</v>
      </c>
      <c r="F338" s="2339">
        <f>SUM(G338:J338)</f>
        <v>2391059</v>
      </c>
      <c r="G338" s="2339"/>
      <c r="H338" s="2339">
        <v>2391059</v>
      </c>
      <c r="I338" s="2339"/>
      <c r="J338" s="2340"/>
    </row>
    <row r="339" spans="1:11" s="2333" customFormat="1" ht="15" customHeight="1">
      <c r="A339" s="3115"/>
      <c r="B339" s="3116"/>
      <c r="C339" s="3117"/>
      <c r="D339" s="3118"/>
      <c r="E339" s="2344">
        <v>6059</v>
      </c>
      <c r="F339" s="2339">
        <f t="shared" ref="F339" si="39">SUM(G339:J339)</f>
        <v>421952</v>
      </c>
      <c r="G339" s="2339">
        <v>421952</v>
      </c>
      <c r="H339" s="2339"/>
      <c r="I339" s="2339"/>
      <c r="J339" s="2340"/>
    </row>
    <row r="340" spans="1:11" s="2333" customFormat="1" ht="22.5">
      <c r="A340" s="3115" t="s">
        <v>1170</v>
      </c>
      <c r="B340" s="3116" t="s">
        <v>1171</v>
      </c>
      <c r="C340" s="3118" t="s">
        <v>109</v>
      </c>
      <c r="D340" s="3118" t="s">
        <v>230</v>
      </c>
      <c r="E340" s="2330" t="s">
        <v>1129</v>
      </c>
      <c r="F340" s="2331">
        <f>SUM(F341,F378)</f>
        <v>6440000</v>
      </c>
      <c r="G340" s="2331">
        <f>SUM(G341,G378)</f>
        <v>0</v>
      </c>
      <c r="H340" s="2331">
        <f>SUM(H341,H378)</f>
        <v>0</v>
      </c>
      <c r="I340" s="2331">
        <f>SUM(I341,I378)</f>
        <v>6440000</v>
      </c>
      <c r="J340" s="2332">
        <f>SUM(J341,J378)</f>
        <v>0</v>
      </c>
    </row>
    <row r="341" spans="1:11" s="2333" customFormat="1" ht="21">
      <c r="A341" s="3115"/>
      <c r="B341" s="3116"/>
      <c r="C341" s="3118"/>
      <c r="D341" s="3118"/>
      <c r="E341" s="2335" t="s">
        <v>1135</v>
      </c>
      <c r="F341" s="2336">
        <f>SUM(F342,F347,F358)</f>
        <v>6440000</v>
      </c>
      <c r="G341" s="2336">
        <f t="shared" ref="G341:J341" si="40">SUM(G342,G347,G358)</f>
        <v>0</v>
      </c>
      <c r="H341" s="2336">
        <f t="shared" si="40"/>
        <v>0</v>
      </c>
      <c r="I341" s="2336">
        <f t="shared" si="40"/>
        <v>6440000</v>
      </c>
      <c r="J341" s="2337">
        <f t="shared" si="40"/>
        <v>0</v>
      </c>
    </row>
    <row r="342" spans="1:11" s="2333" customFormat="1" ht="15" hidden="1" customHeight="1">
      <c r="A342" s="3115"/>
      <c r="B342" s="3116"/>
      <c r="C342" s="3118"/>
      <c r="D342" s="3118"/>
      <c r="E342" s="2347" t="s">
        <v>1150</v>
      </c>
      <c r="F342" s="2348">
        <f>SUM(F343:F346)</f>
        <v>0</v>
      </c>
      <c r="G342" s="2348">
        <f t="shared" ref="G342:J342" si="41">SUM(G343:G346)</f>
        <v>0</v>
      </c>
      <c r="H342" s="2348">
        <f t="shared" si="41"/>
        <v>0</v>
      </c>
      <c r="I342" s="2348">
        <f t="shared" si="41"/>
        <v>0</v>
      </c>
      <c r="J342" s="2349">
        <f t="shared" si="41"/>
        <v>0</v>
      </c>
    </row>
    <row r="343" spans="1:11" s="2333" customFormat="1" ht="15" hidden="1" customHeight="1">
      <c r="A343" s="3115"/>
      <c r="B343" s="3116"/>
      <c r="C343" s="3118"/>
      <c r="D343" s="3118"/>
      <c r="E343" s="2338" t="s">
        <v>537</v>
      </c>
      <c r="F343" s="2339">
        <f t="shared" ref="F343:F346" si="42">SUM(G343:J343)</f>
        <v>0</v>
      </c>
      <c r="G343" s="2339"/>
      <c r="H343" s="2339"/>
      <c r="I343" s="2339"/>
      <c r="J343" s="2340"/>
    </row>
    <row r="344" spans="1:11" s="2333" customFormat="1" ht="15" hidden="1" customHeight="1">
      <c r="A344" s="3115"/>
      <c r="B344" s="3116"/>
      <c r="C344" s="3118"/>
      <c r="D344" s="3118"/>
      <c r="E344" s="2338" t="s">
        <v>420</v>
      </c>
      <c r="F344" s="2339">
        <f t="shared" si="42"/>
        <v>0</v>
      </c>
      <c r="G344" s="2339"/>
      <c r="H344" s="2339"/>
      <c r="I344" s="2339"/>
      <c r="J344" s="2340"/>
    </row>
    <row r="345" spans="1:11" s="2333" customFormat="1" ht="15" hidden="1" customHeight="1">
      <c r="A345" s="3115"/>
      <c r="B345" s="3116"/>
      <c r="C345" s="3118"/>
      <c r="D345" s="3118"/>
      <c r="E345" s="2338" t="s">
        <v>311</v>
      </c>
      <c r="F345" s="2339">
        <f t="shared" si="42"/>
        <v>0</v>
      </c>
      <c r="G345" s="2339"/>
      <c r="H345" s="2339"/>
      <c r="I345" s="2339"/>
      <c r="J345" s="2340"/>
    </row>
    <row r="346" spans="1:11" s="2333" customFormat="1" ht="15" hidden="1" customHeight="1">
      <c r="A346" s="3115"/>
      <c r="B346" s="3116"/>
      <c r="C346" s="3118"/>
      <c r="D346" s="3118"/>
      <c r="E346" s="2338" t="s">
        <v>303</v>
      </c>
      <c r="F346" s="2339">
        <f t="shared" si="42"/>
        <v>0</v>
      </c>
      <c r="G346" s="2339"/>
      <c r="H346" s="2339"/>
      <c r="I346" s="2339"/>
      <c r="J346" s="2340"/>
    </row>
    <row r="347" spans="1:11" s="2369" customFormat="1" ht="22.5">
      <c r="A347" s="3115"/>
      <c r="B347" s="3116"/>
      <c r="C347" s="3118"/>
      <c r="D347" s="3118"/>
      <c r="E347" s="2347" t="s">
        <v>1136</v>
      </c>
      <c r="F347" s="2348">
        <f>SUM(F348:F357)</f>
        <v>4610000</v>
      </c>
      <c r="G347" s="2348">
        <f>SUM(G348:G357)</f>
        <v>0</v>
      </c>
      <c r="H347" s="2348">
        <f>SUM(H348:H357)</f>
        <v>0</v>
      </c>
      <c r="I347" s="2348">
        <f>SUM(I348:I357)</f>
        <v>4610000</v>
      </c>
      <c r="J347" s="2349">
        <f>SUM(J348:J357)</f>
        <v>0</v>
      </c>
    </row>
    <row r="348" spans="1:11" s="2369" customFormat="1" ht="15" customHeight="1">
      <c r="A348" s="3115"/>
      <c r="B348" s="3116"/>
      <c r="C348" s="3118"/>
      <c r="D348" s="3118"/>
      <c r="E348" s="2338" t="s">
        <v>540</v>
      </c>
      <c r="F348" s="2339">
        <f t="shared" ref="F348:F357" si="43">SUM(G348:J348)</f>
        <v>2258093</v>
      </c>
      <c r="G348" s="2339"/>
      <c r="H348" s="2339"/>
      <c r="I348" s="2339">
        <v>2258093</v>
      </c>
      <c r="J348" s="2340"/>
      <c r="K348" s="2370"/>
    </row>
    <row r="349" spans="1:11" s="2369" customFormat="1" ht="15" customHeight="1">
      <c r="A349" s="3115"/>
      <c r="B349" s="3116"/>
      <c r="C349" s="3118"/>
      <c r="D349" s="3118"/>
      <c r="E349" s="2338" t="s">
        <v>541</v>
      </c>
      <c r="F349" s="2339">
        <f t="shared" si="43"/>
        <v>1291907</v>
      </c>
      <c r="G349" s="2339"/>
      <c r="H349" s="2339"/>
      <c r="I349" s="2339">
        <v>1291907</v>
      </c>
      <c r="J349" s="2340"/>
      <c r="K349" s="2370"/>
    </row>
    <row r="350" spans="1:11" s="2369" customFormat="1" ht="15" customHeight="1">
      <c r="A350" s="3115"/>
      <c r="B350" s="3116"/>
      <c r="C350" s="3118"/>
      <c r="D350" s="3118"/>
      <c r="E350" s="2338" t="s">
        <v>542</v>
      </c>
      <c r="F350" s="2339">
        <f t="shared" si="43"/>
        <v>190890</v>
      </c>
      <c r="G350" s="2339"/>
      <c r="H350" s="2339"/>
      <c r="I350" s="2339">
        <v>190890</v>
      </c>
      <c r="J350" s="2340"/>
      <c r="K350" s="2371"/>
    </row>
    <row r="351" spans="1:11" s="2369" customFormat="1" ht="15" customHeight="1">
      <c r="A351" s="3115"/>
      <c r="B351" s="3116"/>
      <c r="C351" s="3118"/>
      <c r="D351" s="3118"/>
      <c r="E351" s="2338" t="s">
        <v>543</v>
      </c>
      <c r="F351" s="2339">
        <f t="shared" si="43"/>
        <v>109110</v>
      </c>
      <c r="G351" s="2339"/>
      <c r="H351" s="2339"/>
      <c r="I351" s="2339">
        <v>109110</v>
      </c>
      <c r="J351" s="2340"/>
    </row>
    <row r="352" spans="1:11" s="2369" customFormat="1" ht="15" customHeight="1">
      <c r="A352" s="3115"/>
      <c r="B352" s="3116"/>
      <c r="C352" s="3118"/>
      <c r="D352" s="3118"/>
      <c r="E352" s="2338" t="s">
        <v>544</v>
      </c>
      <c r="F352" s="2339">
        <f t="shared" si="43"/>
        <v>413595</v>
      </c>
      <c r="G352" s="2339"/>
      <c r="H352" s="2339"/>
      <c r="I352" s="2339">
        <v>413595</v>
      </c>
      <c r="J352" s="2340"/>
    </row>
    <row r="353" spans="1:10" s="2333" customFormat="1" ht="15" customHeight="1">
      <c r="A353" s="3115"/>
      <c r="B353" s="3116"/>
      <c r="C353" s="3118"/>
      <c r="D353" s="3118"/>
      <c r="E353" s="2338" t="s">
        <v>545</v>
      </c>
      <c r="F353" s="2339">
        <f t="shared" si="43"/>
        <v>236405</v>
      </c>
      <c r="G353" s="2339"/>
      <c r="H353" s="2339"/>
      <c r="I353" s="2339">
        <v>236405</v>
      </c>
      <c r="J353" s="2340"/>
    </row>
    <row r="354" spans="1:10" s="2333" customFormat="1" ht="15" customHeight="1">
      <c r="A354" s="3115"/>
      <c r="B354" s="3116"/>
      <c r="C354" s="3118"/>
      <c r="D354" s="3118"/>
      <c r="E354" s="2338" t="s">
        <v>546</v>
      </c>
      <c r="F354" s="2339">
        <f t="shared" si="43"/>
        <v>63630</v>
      </c>
      <c r="G354" s="2339"/>
      <c r="H354" s="2339"/>
      <c r="I354" s="2339">
        <v>63630</v>
      </c>
      <c r="J354" s="2340"/>
    </row>
    <row r="355" spans="1:10" s="2333" customFormat="1" ht="15" customHeight="1">
      <c r="A355" s="3115"/>
      <c r="B355" s="3116"/>
      <c r="C355" s="3118"/>
      <c r="D355" s="3118"/>
      <c r="E355" s="2338" t="s">
        <v>547</v>
      </c>
      <c r="F355" s="2339">
        <f t="shared" si="43"/>
        <v>36370</v>
      </c>
      <c r="G355" s="2339"/>
      <c r="H355" s="2339"/>
      <c r="I355" s="2339">
        <v>36370</v>
      </c>
      <c r="J355" s="2340"/>
    </row>
    <row r="356" spans="1:10" s="2333" customFormat="1" ht="15" customHeight="1">
      <c r="A356" s="3115"/>
      <c r="B356" s="3116"/>
      <c r="C356" s="3118"/>
      <c r="D356" s="3118"/>
      <c r="E356" s="2338" t="s">
        <v>548</v>
      </c>
      <c r="F356" s="2339">
        <f t="shared" si="43"/>
        <v>6363</v>
      </c>
      <c r="G356" s="2339"/>
      <c r="H356" s="2339"/>
      <c r="I356" s="2339">
        <v>6363</v>
      </c>
      <c r="J356" s="2340"/>
    </row>
    <row r="357" spans="1:10" s="2333" customFormat="1" ht="15" customHeight="1">
      <c r="A357" s="3115"/>
      <c r="B357" s="3116"/>
      <c r="C357" s="3118"/>
      <c r="D357" s="3118"/>
      <c r="E357" s="2338" t="s">
        <v>549</v>
      </c>
      <c r="F357" s="2339">
        <f t="shared" si="43"/>
        <v>3637</v>
      </c>
      <c r="G357" s="2339"/>
      <c r="H357" s="2339"/>
      <c r="I357" s="2339">
        <v>3637</v>
      </c>
      <c r="J357" s="2340"/>
    </row>
    <row r="358" spans="1:10" s="2333" customFormat="1" ht="22.5">
      <c r="A358" s="3115"/>
      <c r="B358" s="3116"/>
      <c r="C358" s="3118"/>
      <c r="D358" s="3118"/>
      <c r="E358" s="2347" t="s">
        <v>1137</v>
      </c>
      <c r="F358" s="2348">
        <f>SUM(F359:F377)</f>
        <v>1830000</v>
      </c>
      <c r="G358" s="2348">
        <f t="shared" ref="G358:J358" si="44">SUM(G359:G377)</f>
        <v>0</v>
      </c>
      <c r="H358" s="2348">
        <f t="shared" si="44"/>
        <v>0</v>
      </c>
      <c r="I358" s="2348">
        <f t="shared" si="44"/>
        <v>1830000</v>
      </c>
      <c r="J358" s="2349">
        <f t="shared" si="44"/>
        <v>0</v>
      </c>
    </row>
    <row r="359" spans="1:10" s="2333" customFormat="1" ht="15" customHeight="1">
      <c r="A359" s="3115"/>
      <c r="B359" s="3116"/>
      <c r="C359" s="3118"/>
      <c r="D359" s="3118"/>
      <c r="E359" s="2372" t="s">
        <v>550</v>
      </c>
      <c r="F359" s="2339">
        <f t="shared" ref="F359:F377" si="45">SUM(G359:J359)</f>
        <v>190890</v>
      </c>
      <c r="G359" s="2339"/>
      <c r="H359" s="2339"/>
      <c r="I359" s="2339">
        <v>190890</v>
      </c>
      <c r="J359" s="2340"/>
    </row>
    <row r="360" spans="1:10" s="2333" customFormat="1" ht="15" customHeight="1">
      <c r="A360" s="3115"/>
      <c r="B360" s="3116"/>
      <c r="C360" s="3118"/>
      <c r="D360" s="3118"/>
      <c r="E360" s="2372" t="s">
        <v>552</v>
      </c>
      <c r="F360" s="2339">
        <f t="shared" si="45"/>
        <v>109110</v>
      </c>
      <c r="G360" s="2339"/>
      <c r="H360" s="2339"/>
      <c r="I360" s="2339">
        <v>109110</v>
      </c>
      <c r="J360" s="2340"/>
    </row>
    <row r="361" spans="1:10" s="2333" customFormat="1" ht="15" customHeight="1">
      <c r="A361" s="3115"/>
      <c r="B361" s="3116"/>
      <c r="C361" s="3118"/>
      <c r="D361" s="3118"/>
      <c r="E361" s="2338" t="s">
        <v>553</v>
      </c>
      <c r="F361" s="2339">
        <f t="shared" si="45"/>
        <v>154621</v>
      </c>
      <c r="G361" s="2339"/>
      <c r="H361" s="2339"/>
      <c r="I361" s="2339">
        <v>154621</v>
      </c>
      <c r="J361" s="2340"/>
    </row>
    <row r="362" spans="1:10" s="2333" customFormat="1" ht="15" customHeight="1">
      <c r="A362" s="3115"/>
      <c r="B362" s="3116"/>
      <c r="C362" s="3118"/>
      <c r="D362" s="3118"/>
      <c r="E362" s="2338" t="s">
        <v>554</v>
      </c>
      <c r="F362" s="2339">
        <f t="shared" si="45"/>
        <v>88379</v>
      </c>
      <c r="G362" s="2339"/>
      <c r="H362" s="2339"/>
      <c r="I362" s="2339">
        <v>88379</v>
      </c>
      <c r="J362" s="2340"/>
    </row>
    <row r="363" spans="1:10" s="2333" customFormat="1" ht="15" customHeight="1">
      <c r="A363" s="3115"/>
      <c r="B363" s="3116"/>
      <c r="C363" s="3118"/>
      <c r="D363" s="3118"/>
      <c r="E363" s="2338" t="s">
        <v>555</v>
      </c>
      <c r="F363" s="2339">
        <f t="shared" si="45"/>
        <v>1909</v>
      </c>
      <c r="G363" s="2339"/>
      <c r="H363" s="2339"/>
      <c r="I363" s="2339">
        <v>1909</v>
      </c>
      <c r="J363" s="2340"/>
    </row>
    <row r="364" spans="1:10" s="2333" customFormat="1" ht="15" customHeight="1">
      <c r="A364" s="3115"/>
      <c r="B364" s="3116"/>
      <c r="C364" s="3118"/>
      <c r="D364" s="3118"/>
      <c r="E364" s="2338" t="s">
        <v>556</v>
      </c>
      <c r="F364" s="2339">
        <f t="shared" si="45"/>
        <v>1091</v>
      </c>
      <c r="G364" s="2339"/>
      <c r="H364" s="2339"/>
      <c r="I364" s="2339">
        <v>1091</v>
      </c>
      <c r="J364" s="2340"/>
    </row>
    <row r="365" spans="1:10" s="2333" customFormat="1" ht="15" customHeight="1">
      <c r="A365" s="3115"/>
      <c r="B365" s="3116"/>
      <c r="C365" s="3118"/>
      <c r="D365" s="3118"/>
      <c r="E365" s="2338" t="s">
        <v>557</v>
      </c>
      <c r="F365" s="2339">
        <f t="shared" si="45"/>
        <v>790285</v>
      </c>
      <c r="G365" s="2339"/>
      <c r="H365" s="2339"/>
      <c r="I365" s="2339">
        <v>790285</v>
      </c>
      <c r="J365" s="2340"/>
    </row>
    <row r="366" spans="1:10" s="2333" customFormat="1" ht="15" customHeight="1">
      <c r="A366" s="3115"/>
      <c r="B366" s="3116"/>
      <c r="C366" s="3118"/>
      <c r="D366" s="3118"/>
      <c r="E366" s="2338" t="s">
        <v>558</v>
      </c>
      <c r="F366" s="2339">
        <f t="shared" si="45"/>
        <v>451715</v>
      </c>
      <c r="G366" s="2339"/>
      <c r="H366" s="2339"/>
      <c r="I366" s="2339">
        <v>451715</v>
      </c>
      <c r="J366" s="2340"/>
    </row>
    <row r="367" spans="1:10" s="2333" customFormat="1" ht="15" customHeight="1">
      <c r="A367" s="3115"/>
      <c r="B367" s="3116"/>
      <c r="C367" s="3118"/>
      <c r="D367" s="3118"/>
      <c r="E367" s="2338" t="s">
        <v>559</v>
      </c>
      <c r="F367" s="2339">
        <f t="shared" si="45"/>
        <v>636</v>
      </c>
      <c r="G367" s="2339"/>
      <c r="H367" s="2339"/>
      <c r="I367" s="2339">
        <v>636</v>
      </c>
      <c r="J367" s="2340"/>
    </row>
    <row r="368" spans="1:10" s="2333" customFormat="1" ht="15" customHeight="1">
      <c r="A368" s="3115"/>
      <c r="B368" s="3116"/>
      <c r="C368" s="3118"/>
      <c r="D368" s="3118"/>
      <c r="E368" s="2338" t="s">
        <v>560</v>
      </c>
      <c r="F368" s="2339">
        <f t="shared" si="45"/>
        <v>364</v>
      </c>
      <c r="G368" s="2339"/>
      <c r="H368" s="2339"/>
      <c r="I368" s="2339">
        <v>364</v>
      </c>
      <c r="J368" s="2340"/>
    </row>
    <row r="369" spans="1:11" s="2333" customFormat="1" ht="15" customHeight="1">
      <c r="A369" s="3115"/>
      <c r="B369" s="3116"/>
      <c r="C369" s="3118"/>
      <c r="D369" s="3118"/>
      <c r="E369" s="2338" t="s">
        <v>561</v>
      </c>
      <c r="F369" s="2339">
        <f t="shared" si="45"/>
        <v>7636</v>
      </c>
      <c r="G369" s="2339"/>
      <c r="H369" s="2339"/>
      <c r="I369" s="2339">
        <v>7636</v>
      </c>
      <c r="J369" s="2340"/>
    </row>
    <row r="370" spans="1:11" s="2333" customFormat="1" ht="15" customHeight="1">
      <c r="A370" s="3115"/>
      <c r="B370" s="3116"/>
      <c r="C370" s="3118"/>
      <c r="D370" s="3118"/>
      <c r="E370" s="2338" t="s">
        <v>562</v>
      </c>
      <c r="F370" s="2339">
        <f t="shared" si="45"/>
        <v>4364</v>
      </c>
      <c r="G370" s="2339"/>
      <c r="H370" s="2339"/>
      <c r="I370" s="2339">
        <v>4364</v>
      </c>
      <c r="J370" s="2340"/>
    </row>
    <row r="371" spans="1:11" s="2333" customFormat="1" ht="15" customHeight="1">
      <c r="A371" s="3115"/>
      <c r="B371" s="3116"/>
      <c r="C371" s="3118"/>
      <c r="D371" s="3118"/>
      <c r="E371" s="2338" t="s">
        <v>563</v>
      </c>
      <c r="F371" s="2339">
        <f t="shared" si="45"/>
        <v>9544</v>
      </c>
      <c r="G371" s="2339"/>
      <c r="H371" s="2339"/>
      <c r="I371" s="2339">
        <v>9544</v>
      </c>
      <c r="J371" s="2340"/>
    </row>
    <row r="372" spans="1:11" s="2333" customFormat="1" ht="15" customHeight="1">
      <c r="A372" s="3115"/>
      <c r="B372" s="3116"/>
      <c r="C372" s="3118"/>
      <c r="D372" s="3118"/>
      <c r="E372" s="2338" t="s">
        <v>564</v>
      </c>
      <c r="F372" s="2339">
        <f t="shared" si="45"/>
        <v>5456</v>
      </c>
      <c r="G372" s="2339"/>
      <c r="H372" s="2339"/>
      <c r="I372" s="2339">
        <v>5456</v>
      </c>
      <c r="J372" s="2340"/>
    </row>
    <row r="373" spans="1:11" s="2333" customFormat="1" ht="15" customHeight="1">
      <c r="A373" s="3115"/>
      <c r="B373" s="3116"/>
      <c r="C373" s="3118"/>
      <c r="D373" s="3118"/>
      <c r="E373" s="2338" t="s">
        <v>565</v>
      </c>
      <c r="F373" s="2339">
        <f t="shared" si="45"/>
        <v>8908</v>
      </c>
      <c r="G373" s="2339"/>
      <c r="H373" s="2339"/>
      <c r="I373" s="2339">
        <v>8908</v>
      </c>
      <c r="J373" s="2340"/>
    </row>
    <row r="374" spans="1:11" s="2333" customFormat="1" ht="15" customHeight="1">
      <c r="A374" s="3115"/>
      <c r="B374" s="3116"/>
      <c r="C374" s="3118"/>
      <c r="D374" s="3118"/>
      <c r="E374" s="2338" t="s">
        <v>566</v>
      </c>
      <c r="F374" s="2339">
        <f t="shared" si="45"/>
        <v>5092</v>
      </c>
      <c r="G374" s="2339"/>
      <c r="H374" s="2339"/>
      <c r="I374" s="2339">
        <v>5092</v>
      </c>
      <c r="J374" s="2340"/>
    </row>
    <row r="375" spans="1:11" s="2333" customFormat="1" ht="15" hidden="1" customHeight="1">
      <c r="A375" s="3115"/>
      <c r="B375" s="3116"/>
      <c r="C375" s="3118"/>
      <c r="D375" s="3118"/>
      <c r="E375" s="2338" t="s">
        <v>586</v>
      </c>
      <c r="F375" s="2339">
        <f t="shared" si="45"/>
        <v>0</v>
      </c>
      <c r="G375" s="2339"/>
      <c r="H375" s="2339"/>
      <c r="I375" s="2339"/>
      <c r="J375" s="2340"/>
    </row>
    <row r="376" spans="1:11" s="2333" customFormat="1" ht="15" hidden="1" customHeight="1">
      <c r="A376" s="3115"/>
      <c r="B376" s="3116"/>
      <c r="C376" s="3118"/>
      <c r="D376" s="3118"/>
      <c r="E376" s="2338" t="s">
        <v>391</v>
      </c>
      <c r="F376" s="2339">
        <f t="shared" si="45"/>
        <v>0</v>
      </c>
      <c r="G376" s="2339"/>
      <c r="H376" s="2339"/>
      <c r="I376" s="2339"/>
      <c r="J376" s="2340"/>
    </row>
    <row r="377" spans="1:11" s="2333" customFormat="1" ht="15" hidden="1" customHeight="1">
      <c r="A377" s="3115"/>
      <c r="B377" s="3116"/>
      <c r="C377" s="3118"/>
      <c r="D377" s="3118"/>
      <c r="E377" s="2338" t="s">
        <v>589</v>
      </c>
      <c r="F377" s="2339">
        <f t="shared" si="45"/>
        <v>0</v>
      </c>
      <c r="G377" s="2339"/>
      <c r="H377" s="2339"/>
      <c r="I377" s="2339"/>
      <c r="J377" s="2340"/>
    </row>
    <row r="378" spans="1:11" s="2333" customFormat="1" ht="15" customHeight="1">
      <c r="A378" s="3115"/>
      <c r="B378" s="3116"/>
      <c r="C378" s="3118"/>
      <c r="D378" s="3118"/>
      <c r="E378" s="2341" t="s">
        <v>1130</v>
      </c>
      <c r="F378" s="2336">
        <f>SUM(F379:F380)</f>
        <v>0</v>
      </c>
      <c r="G378" s="2336">
        <f>SUM(G379:G380)</f>
        <v>0</v>
      </c>
      <c r="H378" s="2336">
        <f>SUM(H379:H380)</f>
        <v>0</v>
      </c>
      <c r="I378" s="2336">
        <f>SUM(I379:I380)</f>
        <v>0</v>
      </c>
      <c r="J378" s="2337">
        <f>SUM(J379:J380)</f>
        <v>0</v>
      </c>
    </row>
    <row r="379" spans="1:11" s="2333" customFormat="1" ht="15" hidden="1" customHeight="1">
      <c r="A379" s="2350"/>
      <c r="B379" s="2351"/>
      <c r="C379" s="2353"/>
      <c r="D379" s="2353"/>
      <c r="E379" s="2354"/>
      <c r="F379" s="2355">
        <f>SUM(G379:J379)</f>
        <v>0</v>
      </c>
      <c r="G379" s="2355"/>
      <c r="H379" s="2355"/>
      <c r="I379" s="2355"/>
      <c r="J379" s="2356"/>
    </row>
    <row r="380" spans="1:11" s="2333" customFormat="1" ht="15" hidden="1" customHeight="1">
      <c r="A380" s="2350"/>
      <c r="B380" s="2351"/>
      <c r="C380" s="2353"/>
      <c r="D380" s="2353"/>
      <c r="E380" s="2368"/>
      <c r="F380" s="2355">
        <f>SUM(G380:J380)</f>
        <v>0</v>
      </c>
      <c r="G380" s="2355"/>
      <c r="H380" s="2355"/>
      <c r="I380" s="2355"/>
      <c r="J380" s="2356"/>
    </row>
    <row r="381" spans="1:11" s="2369" customFormat="1" ht="22.5">
      <c r="A381" s="3115" t="s">
        <v>1172</v>
      </c>
      <c r="B381" s="3116" t="s">
        <v>1173</v>
      </c>
      <c r="C381" s="3118" t="s">
        <v>241</v>
      </c>
      <c r="D381" s="3118" t="s">
        <v>243</v>
      </c>
      <c r="E381" s="2330" t="s">
        <v>1129</v>
      </c>
      <c r="F381" s="2331">
        <f>SUM(F382,F412)</f>
        <v>520000</v>
      </c>
      <c r="G381" s="2331">
        <f>SUM(G382,G412)</f>
        <v>0</v>
      </c>
      <c r="H381" s="2331">
        <f>SUM(H382,H412)</f>
        <v>0</v>
      </c>
      <c r="I381" s="2331">
        <f>SUM(I382,I412)</f>
        <v>520000</v>
      </c>
      <c r="J381" s="2332">
        <f>SUM(J382,J412)</f>
        <v>0</v>
      </c>
      <c r="K381" s="2370"/>
    </row>
    <row r="382" spans="1:11" s="2369" customFormat="1" ht="21">
      <c r="A382" s="3115"/>
      <c r="B382" s="3116"/>
      <c r="C382" s="3118"/>
      <c r="D382" s="3118"/>
      <c r="E382" s="2335" t="s">
        <v>1135</v>
      </c>
      <c r="F382" s="2336">
        <f>SUM(F383,F394)</f>
        <v>520000</v>
      </c>
      <c r="G382" s="2336">
        <f>SUM(G383,G394)</f>
        <v>0</v>
      </c>
      <c r="H382" s="2336">
        <f>SUM(H383,H394)</f>
        <v>0</v>
      </c>
      <c r="I382" s="2336">
        <f>SUM(I383,I394)</f>
        <v>520000</v>
      </c>
      <c r="J382" s="2337">
        <f>SUM(J383,J394)</f>
        <v>0</v>
      </c>
    </row>
    <row r="383" spans="1:11" s="2369" customFormat="1" ht="22.5">
      <c r="A383" s="3115"/>
      <c r="B383" s="3116"/>
      <c r="C383" s="3118"/>
      <c r="D383" s="3118"/>
      <c r="E383" s="2347" t="s">
        <v>1136</v>
      </c>
      <c r="F383" s="2348">
        <f>SUM(F384:F393)</f>
        <v>510000</v>
      </c>
      <c r="G383" s="2348">
        <f>SUM(G384:G393)</f>
        <v>0</v>
      </c>
      <c r="H383" s="2348">
        <f>SUM(H384:H393)</f>
        <v>0</v>
      </c>
      <c r="I383" s="2348">
        <f>SUM(I384:I393)</f>
        <v>510000</v>
      </c>
      <c r="J383" s="2349">
        <f>SUM(J384:J393)</f>
        <v>0</v>
      </c>
    </row>
    <row r="384" spans="1:11" s="2369" customFormat="1" ht="15" customHeight="1">
      <c r="A384" s="3115"/>
      <c r="B384" s="3116"/>
      <c r="C384" s="3118"/>
      <c r="D384" s="3118"/>
      <c r="E384" s="2338" t="s">
        <v>540</v>
      </c>
      <c r="F384" s="2339">
        <f t="shared" ref="F384:F393" si="46">SUM(G384:J384)</f>
        <v>297450</v>
      </c>
      <c r="G384" s="2339"/>
      <c r="H384" s="2339"/>
      <c r="I384" s="2339">
        <v>297450</v>
      </c>
      <c r="J384" s="2340"/>
      <c r="K384" s="2370"/>
    </row>
    <row r="385" spans="1:11" s="2369" customFormat="1" ht="15" customHeight="1">
      <c r="A385" s="3115"/>
      <c r="B385" s="3116"/>
      <c r="C385" s="3118"/>
      <c r="D385" s="3118"/>
      <c r="E385" s="2338" t="s">
        <v>541</v>
      </c>
      <c r="F385" s="2339">
        <f t="shared" si="46"/>
        <v>99150</v>
      </c>
      <c r="G385" s="2339"/>
      <c r="H385" s="2339"/>
      <c r="I385" s="2339">
        <v>99150</v>
      </c>
      <c r="J385" s="2340"/>
      <c r="K385" s="2370"/>
    </row>
    <row r="386" spans="1:11" s="2369" customFormat="1" ht="15" customHeight="1">
      <c r="A386" s="3115"/>
      <c r="B386" s="3116"/>
      <c r="C386" s="3118"/>
      <c r="D386" s="3118"/>
      <c r="E386" s="2338" t="s">
        <v>542</v>
      </c>
      <c r="F386" s="2339">
        <f t="shared" si="46"/>
        <v>22500</v>
      </c>
      <c r="G386" s="2339"/>
      <c r="H386" s="2339"/>
      <c r="I386" s="2339">
        <v>22500</v>
      </c>
      <c r="J386" s="2340"/>
      <c r="K386" s="2371"/>
    </row>
    <row r="387" spans="1:11" s="2369" customFormat="1" ht="15" customHeight="1">
      <c r="A387" s="3115"/>
      <c r="B387" s="3116"/>
      <c r="C387" s="3118"/>
      <c r="D387" s="3118"/>
      <c r="E387" s="2338" t="s">
        <v>543</v>
      </c>
      <c r="F387" s="2339">
        <f t="shared" si="46"/>
        <v>7500</v>
      </c>
      <c r="G387" s="2339"/>
      <c r="H387" s="2339"/>
      <c r="I387" s="2339">
        <v>7500</v>
      </c>
      <c r="J387" s="2340"/>
    </row>
    <row r="388" spans="1:11" s="2369" customFormat="1" ht="15" customHeight="1">
      <c r="A388" s="3115"/>
      <c r="B388" s="3116"/>
      <c r="C388" s="3118"/>
      <c r="D388" s="3118"/>
      <c r="E388" s="2338" t="s">
        <v>544</v>
      </c>
      <c r="F388" s="2339">
        <f t="shared" si="46"/>
        <v>54750</v>
      </c>
      <c r="G388" s="2339"/>
      <c r="H388" s="2339"/>
      <c r="I388" s="2339">
        <v>54750</v>
      </c>
      <c r="J388" s="2340"/>
    </row>
    <row r="389" spans="1:11" s="2369" customFormat="1" ht="15" customHeight="1">
      <c r="A389" s="3115"/>
      <c r="B389" s="3116"/>
      <c r="C389" s="3118"/>
      <c r="D389" s="3118"/>
      <c r="E389" s="2338" t="s">
        <v>545</v>
      </c>
      <c r="F389" s="2339">
        <f t="shared" si="46"/>
        <v>18250</v>
      </c>
      <c r="G389" s="2339"/>
      <c r="H389" s="2339"/>
      <c r="I389" s="2339">
        <v>18250</v>
      </c>
      <c r="J389" s="2340"/>
    </row>
    <row r="390" spans="1:11" s="2369" customFormat="1" ht="15" customHeight="1">
      <c r="A390" s="3115"/>
      <c r="B390" s="3116"/>
      <c r="C390" s="3118"/>
      <c r="D390" s="3118"/>
      <c r="E390" s="2338" t="s">
        <v>546</v>
      </c>
      <c r="F390" s="2339">
        <f t="shared" si="46"/>
        <v>7800</v>
      </c>
      <c r="G390" s="2339"/>
      <c r="H390" s="2339"/>
      <c r="I390" s="2339">
        <v>7800</v>
      </c>
      <c r="J390" s="2340"/>
    </row>
    <row r="391" spans="1:11" s="2369" customFormat="1" ht="15" customHeight="1">
      <c r="A391" s="3115"/>
      <c r="B391" s="3116"/>
      <c r="C391" s="3118"/>
      <c r="D391" s="3118"/>
      <c r="E391" s="2338" t="s">
        <v>547</v>
      </c>
      <c r="F391" s="2339">
        <f t="shared" si="46"/>
        <v>2600</v>
      </c>
      <c r="G391" s="2339"/>
      <c r="H391" s="2339"/>
      <c r="I391" s="2339">
        <v>2600</v>
      </c>
      <c r="J391" s="2340"/>
    </row>
    <row r="392" spans="1:11" s="2369" customFormat="1" ht="15" hidden="1" customHeight="1">
      <c r="A392" s="3115"/>
      <c r="B392" s="3116"/>
      <c r="C392" s="3118"/>
      <c r="D392" s="3118"/>
      <c r="E392" s="2338" t="s">
        <v>548</v>
      </c>
      <c r="F392" s="2339">
        <f t="shared" si="46"/>
        <v>0</v>
      </c>
      <c r="G392" s="2339"/>
      <c r="H392" s="2339"/>
      <c r="I392" s="2339"/>
      <c r="J392" s="2340"/>
    </row>
    <row r="393" spans="1:11" s="2369" customFormat="1" ht="15" hidden="1" customHeight="1">
      <c r="A393" s="3115"/>
      <c r="B393" s="3116"/>
      <c r="C393" s="3118"/>
      <c r="D393" s="3118"/>
      <c r="E393" s="2338" t="s">
        <v>549</v>
      </c>
      <c r="F393" s="2339">
        <f t="shared" si="46"/>
        <v>0</v>
      </c>
      <c r="G393" s="2339"/>
      <c r="H393" s="2339"/>
      <c r="I393" s="2339"/>
      <c r="J393" s="2340"/>
    </row>
    <row r="394" spans="1:11" s="2369" customFormat="1" ht="22.5">
      <c r="A394" s="3115"/>
      <c r="B394" s="3116"/>
      <c r="C394" s="3118"/>
      <c r="D394" s="3118"/>
      <c r="E394" s="2347" t="s">
        <v>1137</v>
      </c>
      <c r="F394" s="2348">
        <f>SUM(F395:F411)</f>
        <v>10000</v>
      </c>
      <c r="G394" s="2348">
        <f>SUM(G395:G411)</f>
        <v>0</v>
      </c>
      <c r="H394" s="2348">
        <f>SUM(H395:H411)</f>
        <v>0</v>
      </c>
      <c r="I394" s="2348">
        <f>SUM(I395:I411)</f>
        <v>10000</v>
      </c>
      <c r="J394" s="2349">
        <f>SUM(J395:J411)</f>
        <v>0</v>
      </c>
    </row>
    <row r="395" spans="1:11" s="2369" customFormat="1" ht="15" hidden="1" customHeight="1">
      <c r="A395" s="3115"/>
      <c r="B395" s="3116"/>
      <c r="C395" s="3118"/>
      <c r="D395" s="3118"/>
      <c r="E395" s="2338" t="s">
        <v>550</v>
      </c>
      <c r="F395" s="2339">
        <f t="shared" ref="F395:F411" si="47">SUM(G395:J395)</f>
        <v>0</v>
      </c>
      <c r="G395" s="2339"/>
      <c r="H395" s="2339"/>
      <c r="I395" s="2339"/>
      <c r="J395" s="2340"/>
    </row>
    <row r="396" spans="1:11" s="2369" customFormat="1" ht="15" hidden="1" customHeight="1">
      <c r="A396" s="3115"/>
      <c r="B396" s="3116"/>
      <c r="C396" s="3118"/>
      <c r="D396" s="3118"/>
      <c r="E396" s="2338" t="s">
        <v>552</v>
      </c>
      <c r="F396" s="2339">
        <f t="shared" si="47"/>
        <v>0</v>
      </c>
      <c r="G396" s="2339"/>
      <c r="H396" s="2339"/>
      <c r="I396" s="2339"/>
      <c r="J396" s="2340"/>
    </row>
    <row r="397" spans="1:11" s="2369" customFormat="1" ht="15" customHeight="1">
      <c r="A397" s="3115"/>
      <c r="B397" s="3116"/>
      <c r="C397" s="3118"/>
      <c r="D397" s="3118"/>
      <c r="E397" s="2338" t="s">
        <v>553</v>
      </c>
      <c r="F397" s="2339">
        <f t="shared" si="47"/>
        <v>1500</v>
      </c>
      <c r="G397" s="2339"/>
      <c r="H397" s="2339"/>
      <c r="I397" s="2339">
        <v>1500</v>
      </c>
      <c r="J397" s="2340"/>
    </row>
    <row r="398" spans="1:11" s="2369" customFormat="1" ht="15" customHeight="1">
      <c r="A398" s="3115"/>
      <c r="B398" s="3116"/>
      <c r="C398" s="3118"/>
      <c r="D398" s="3118"/>
      <c r="E398" s="2338" t="s">
        <v>554</v>
      </c>
      <c r="F398" s="2339">
        <f t="shared" si="47"/>
        <v>500</v>
      </c>
      <c r="G398" s="2339"/>
      <c r="H398" s="2339"/>
      <c r="I398" s="2339">
        <v>500</v>
      </c>
      <c r="J398" s="2340"/>
    </row>
    <row r="399" spans="1:11" s="2369" customFormat="1" ht="15" customHeight="1">
      <c r="A399" s="3115"/>
      <c r="B399" s="3116"/>
      <c r="C399" s="3118"/>
      <c r="D399" s="3118"/>
      <c r="E399" s="2338" t="s">
        <v>555</v>
      </c>
      <c r="F399" s="2339">
        <f t="shared" si="47"/>
        <v>1500</v>
      </c>
      <c r="G399" s="2339"/>
      <c r="H399" s="2339"/>
      <c r="I399" s="2339">
        <v>1500</v>
      </c>
      <c r="J399" s="2340"/>
    </row>
    <row r="400" spans="1:11" s="2369" customFormat="1" ht="15" customHeight="1">
      <c r="A400" s="3115"/>
      <c r="B400" s="3116"/>
      <c r="C400" s="3118"/>
      <c r="D400" s="3118"/>
      <c r="E400" s="2338" t="s">
        <v>556</v>
      </c>
      <c r="F400" s="2339">
        <f t="shared" si="47"/>
        <v>500</v>
      </c>
      <c r="G400" s="2339"/>
      <c r="H400" s="2339"/>
      <c r="I400" s="2339">
        <v>500</v>
      </c>
      <c r="J400" s="2340"/>
    </row>
    <row r="401" spans="1:10" s="2369" customFormat="1" ht="15" customHeight="1">
      <c r="A401" s="3115"/>
      <c r="B401" s="3116"/>
      <c r="C401" s="3118"/>
      <c r="D401" s="3118"/>
      <c r="E401" s="2338" t="s">
        <v>557</v>
      </c>
      <c r="F401" s="2339">
        <f t="shared" si="47"/>
        <v>1500</v>
      </c>
      <c r="G401" s="2339"/>
      <c r="H401" s="2339"/>
      <c r="I401" s="2339">
        <v>1500</v>
      </c>
      <c r="J401" s="2340"/>
    </row>
    <row r="402" spans="1:10" s="2369" customFormat="1" ht="15" customHeight="1">
      <c r="A402" s="3115"/>
      <c r="B402" s="3116"/>
      <c r="C402" s="3118"/>
      <c r="D402" s="3118"/>
      <c r="E402" s="2338" t="s">
        <v>558</v>
      </c>
      <c r="F402" s="2339">
        <f t="shared" si="47"/>
        <v>500</v>
      </c>
      <c r="G402" s="2339"/>
      <c r="H402" s="2339"/>
      <c r="I402" s="2339">
        <v>500</v>
      </c>
      <c r="J402" s="2340"/>
    </row>
    <row r="403" spans="1:10" s="2369" customFormat="1" ht="15" customHeight="1">
      <c r="A403" s="3115"/>
      <c r="B403" s="3116"/>
      <c r="C403" s="3118"/>
      <c r="D403" s="3118"/>
      <c r="E403" s="2338" t="s">
        <v>561</v>
      </c>
      <c r="F403" s="2339">
        <f t="shared" si="47"/>
        <v>1125</v>
      </c>
      <c r="G403" s="2339"/>
      <c r="H403" s="2339"/>
      <c r="I403" s="2339">
        <v>1125</v>
      </c>
      <c r="J403" s="2340"/>
    </row>
    <row r="404" spans="1:10" s="2369" customFormat="1" ht="15" customHeight="1">
      <c r="A404" s="3115"/>
      <c r="B404" s="3116"/>
      <c r="C404" s="3118"/>
      <c r="D404" s="3118"/>
      <c r="E404" s="2338" t="s">
        <v>562</v>
      </c>
      <c r="F404" s="2339">
        <f t="shared" si="47"/>
        <v>375</v>
      </c>
      <c r="G404" s="2339"/>
      <c r="H404" s="2339"/>
      <c r="I404" s="2339">
        <v>375</v>
      </c>
      <c r="J404" s="2340"/>
    </row>
    <row r="405" spans="1:10" s="2369" customFormat="1" ht="15" customHeight="1">
      <c r="A405" s="3115"/>
      <c r="B405" s="3116"/>
      <c r="C405" s="3118"/>
      <c r="D405" s="3118"/>
      <c r="E405" s="2338" t="s">
        <v>563</v>
      </c>
      <c r="F405" s="2339">
        <f t="shared" si="47"/>
        <v>750</v>
      </c>
      <c r="G405" s="2339"/>
      <c r="H405" s="2339"/>
      <c r="I405" s="2339">
        <v>750</v>
      </c>
      <c r="J405" s="2340"/>
    </row>
    <row r="406" spans="1:10" s="2369" customFormat="1" ht="15" customHeight="1">
      <c r="A406" s="3115"/>
      <c r="B406" s="3116"/>
      <c r="C406" s="3118"/>
      <c r="D406" s="3118"/>
      <c r="E406" s="2338" t="s">
        <v>564</v>
      </c>
      <c r="F406" s="2339">
        <f t="shared" si="47"/>
        <v>250</v>
      </c>
      <c r="G406" s="2339"/>
      <c r="H406" s="2339"/>
      <c r="I406" s="2339">
        <v>250</v>
      </c>
      <c r="J406" s="2340"/>
    </row>
    <row r="407" spans="1:10" s="2369" customFormat="1" ht="15" customHeight="1">
      <c r="A407" s="3115"/>
      <c r="B407" s="3116"/>
      <c r="C407" s="3118"/>
      <c r="D407" s="3118"/>
      <c r="E407" s="2338" t="s">
        <v>565</v>
      </c>
      <c r="F407" s="2339">
        <f t="shared" si="47"/>
        <v>1125</v>
      </c>
      <c r="G407" s="2339"/>
      <c r="H407" s="2339"/>
      <c r="I407" s="2339">
        <v>1125</v>
      </c>
      <c r="J407" s="2340"/>
    </row>
    <row r="408" spans="1:10" s="2369" customFormat="1" ht="15" customHeight="1">
      <c r="A408" s="3115"/>
      <c r="B408" s="3116"/>
      <c r="C408" s="3118"/>
      <c r="D408" s="3118"/>
      <c r="E408" s="2338" t="s">
        <v>566</v>
      </c>
      <c r="F408" s="2339">
        <f t="shared" si="47"/>
        <v>375</v>
      </c>
      <c r="G408" s="2339"/>
      <c r="H408" s="2339"/>
      <c r="I408" s="2339">
        <v>375</v>
      </c>
      <c r="J408" s="2340"/>
    </row>
    <row r="409" spans="1:10" s="2369" customFormat="1" ht="15" hidden="1" customHeight="1">
      <c r="A409" s="3115"/>
      <c r="B409" s="3116"/>
      <c r="C409" s="3118"/>
      <c r="D409" s="3118"/>
      <c r="E409" s="2338" t="s">
        <v>586</v>
      </c>
      <c r="F409" s="2339">
        <f t="shared" si="47"/>
        <v>0</v>
      </c>
      <c r="G409" s="2339"/>
      <c r="H409" s="2339"/>
      <c r="I409" s="2339"/>
      <c r="J409" s="2340"/>
    </row>
    <row r="410" spans="1:10" s="2369" customFormat="1" ht="15" hidden="1" customHeight="1">
      <c r="A410" s="3115"/>
      <c r="B410" s="3116"/>
      <c r="C410" s="3118"/>
      <c r="D410" s="3118"/>
      <c r="E410" s="2338" t="s">
        <v>391</v>
      </c>
      <c r="F410" s="2339">
        <f t="shared" si="47"/>
        <v>0</v>
      </c>
      <c r="G410" s="2339"/>
      <c r="H410" s="2339"/>
      <c r="I410" s="2339"/>
      <c r="J410" s="2340"/>
    </row>
    <row r="411" spans="1:10" s="2369" customFormat="1" ht="15" hidden="1" customHeight="1">
      <c r="A411" s="3115"/>
      <c r="B411" s="3116"/>
      <c r="C411" s="3118"/>
      <c r="D411" s="3118"/>
      <c r="E411" s="2338" t="s">
        <v>589</v>
      </c>
      <c r="F411" s="2339">
        <f t="shared" si="47"/>
        <v>0</v>
      </c>
      <c r="G411" s="2339"/>
      <c r="H411" s="2339"/>
      <c r="I411" s="2339"/>
      <c r="J411" s="2340"/>
    </row>
    <row r="412" spans="1:10" s="2369" customFormat="1" ht="15" customHeight="1">
      <c r="A412" s="3115"/>
      <c r="B412" s="3116"/>
      <c r="C412" s="3118"/>
      <c r="D412" s="3118"/>
      <c r="E412" s="2341" t="s">
        <v>1130</v>
      </c>
      <c r="F412" s="2336">
        <f>SUM(F413:F414)</f>
        <v>0</v>
      </c>
      <c r="G412" s="2336">
        <f>SUM(G413:G414)</f>
        <v>0</v>
      </c>
      <c r="H412" s="2336">
        <f>SUM(H413:H414)</f>
        <v>0</v>
      </c>
      <c r="I412" s="2336">
        <f>SUM(I413:I414)</f>
        <v>0</v>
      </c>
      <c r="J412" s="2337">
        <f>SUM(J413:J414)</f>
        <v>0</v>
      </c>
    </row>
    <row r="413" spans="1:10" s="2333" customFormat="1" ht="15" hidden="1" customHeight="1">
      <c r="A413" s="2350"/>
      <c r="B413" s="2351"/>
      <c r="C413" s="2353"/>
      <c r="D413" s="2353"/>
      <c r="E413" s="2354" t="s">
        <v>638</v>
      </c>
      <c r="F413" s="2355">
        <f>SUM(G413:J413)</f>
        <v>0</v>
      </c>
      <c r="G413" s="2355"/>
      <c r="H413" s="2355"/>
      <c r="I413" s="2355"/>
      <c r="J413" s="2356"/>
    </row>
    <row r="414" spans="1:10" s="2333" customFormat="1" ht="15" hidden="1" customHeight="1">
      <c r="A414" s="2350"/>
      <c r="B414" s="2351"/>
      <c r="C414" s="2353"/>
      <c r="D414" s="2353"/>
      <c r="E414" s="2368">
        <v>6069</v>
      </c>
      <c r="F414" s="2355">
        <f>SUM(G414:J414)</f>
        <v>0</v>
      </c>
      <c r="G414" s="2355"/>
      <c r="H414" s="2355"/>
      <c r="I414" s="2355"/>
      <c r="J414" s="2356"/>
    </row>
    <row r="415" spans="1:10" s="2333" customFormat="1" ht="22.5">
      <c r="A415" s="3115" t="s">
        <v>1174</v>
      </c>
      <c r="B415" s="3116" t="s">
        <v>1175</v>
      </c>
      <c r="C415" s="3117">
        <v>600</v>
      </c>
      <c r="D415" s="3118" t="s">
        <v>112</v>
      </c>
      <c r="E415" s="2330" t="s">
        <v>1129</v>
      </c>
      <c r="F415" s="2331">
        <f>SUM(F416,F425)</f>
        <v>195766802</v>
      </c>
      <c r="G415" s="2331">
        <f>SUM(G416,G425)</f>
        <v>120579764</v>
      </c>
      <c r="H415" s="2331">
        <f>SUM(H416,H425)</f>
        <v>75187038</v>
      </c>
      <c r="I415" s="2331">
        <f>SUM(I416,I425)</f>
        <v>0</v>
      </c>
      <c r="J415" s="2332">
        <f>SUM(J416,J425)</f>
        <v>0</v>
      </c>
    </row>
    <row r="416" spans="1:10" s="2333" customFormat="1" ht="21">
      <c r="A416" s="3115"/>
      <c r="B416" s="3116"/>
      <c r="C416" s="3117"/>
      <c r="D416" s="3118"/>
      <c r="E416" s="2335" t="s">
        <v>1135</v>
      </c>
      <c r="F416" s="2336">
        <f>SUM(F417,F421)</f>
        <v>0</v>
      </c>
      <c r="G416" s="2336">
        <f>SUM(G417,G421)</f>
        <v>0</v>
      </c>
      <c r="H416" s="2336">
        <f>SUM(H417,H421)</f>
        <v>0</v>
      </c>
      <c r="I416" s="2336">
        <f>SUM(I417,I421)</f>
        <v>0</v>
      </c>
      <c r="J416" s="2337">
        <f>SUM(J417,J421)</f>
        <v>0</v>
      </c>
    </row>
    <row r="417" spans="1:10" s="2333" customFormat="1" ht="15" hidden="1" customHeight="1">
      <c r="A417" s="3115"/>
      <c r="B417" s="3116"/>
      <c r="C417" s="3117"/>
      <c r="D417" s="3118"/>
      <c r="E417" s="2347" t="s">
        <v>1136</v>
      </c>
      <c r="F417" s="2348">
        <f>SUM(F418:F420)</f>
        <v>0</v>
      </c>
      <c r="G417" s="2348">
        <f>SUM(G418:G420)</f>
        <v>0</v>
      </c>
      <c r="H417" s="2348">
        <f>SUM(H418:H420)</f>
        <v>0</v>
      </c>
      <c r="I417" s="2348">
        <f>SUM(I418:I420)</f>
        <v>0</v>
      </c>
      <c r="J417" s="2349">
        <f>SUM(J418:J420)</f>
        <v>0</v>
      </c>
    </row>
    <row r="418" spans="1:10" s="2333" customFormat="1" ht="15" hidden="1" customHeight="1">
      <c r="A418" s="3115"/>
      <c r="B418" s="3116"/>
      <c r="C418" s="3117"/>
      <c r="D418" s="3118"/>
      <c r="E418" s="2338"/>
      <c r="F418" s="2339">
        <f>SUM(G418:J418)</f>
        <v>0</v>
      </c>
      <c r="G418" s="2339"/>
      <c r="H418" s="2339"/>
      <c r="I418" s="2339"/>
      <c r="J418" s="2340"/>
    </row>
    <row r="419" spans="1:10" s="2333" customFormat="1" ht="15" hidden="1" customHeight="1">
      <c r="A419" s="3115"/>
      <c r="B419" s="3116"/>
      <c r="C419" s="3117"/>
      <c r="D419" s="3118"/>
      <c r="E419" s="2338"/>
      <c r="F419" s="2339">
        <f>SUM(G419:J419)</f>
        <v>0</v>
      </c>
      <c r="G419" s="2339"/>
      <c r="H419" s="2339"/>
      <c r="I419" s="2339"/>
      <c r="J419" s="2340"/>
    </row>
    <row r="420" spans="1:10" s="2333" customFormat="1" ht="15" hidden="1" customHeight="1">
      <c r="A420" s="3115"/>
      <c r="B420" s="3116"/>
      <c r="C420" s="3117"/>
      <c r="D420" s="3118"/>
      <c r="E420" s="2338"/>
      <c r="F420" s="2339">
        <f>SUM(G420:J420)</f>
        <v>0</v>
      </c>
      <c r="G420" s="2339"/>
      <c r="H420" s="2339"/>
      <c r="I420" s="2339"/>
      <c r="J420" s="2340"/>
    </row>
    <row r="421" spans="1:10" s="2333" customFormat="1" ht="15" hidden="1" customHeight="1">
      <c r="A421" s="3115"/>
      <c r="B421" s="3116"/>
      <c r="C421" s="3117"/>
      <c r="D421" s="3118"/>
      <c r="E421" s="2347" t="s">
        <v>1137</v>
      </c>
      <c r="F421" s="2348">
        <f>SUM(F422:F424)</f>
        <v>0</v>
      </c>
      <c r="G421" s="2348">
        <f>SUM(G422:G424)</f>
        <v>0</v>
      </c>
      <c r="H421" s="2348">
        <f>SUM(H422:H424)</f>
        <v>0</v>
      </c>
      <c r="I421" s="2348">
        <f>SUM(I422:I424)</f>
        <v>0</v>
      </c>
      <c r="J421" s="2349">
        <f>SUM(J422:J424)</f>
        <v>0</v>
      </c>
    </row>
    <row r="422" spans="1:10" s="2333" customFormat="1" ht="15" hidden="1" customHeight="1">
      <c r="A422" s="3115"/>
      <c r="B422" s="3116"/>
      <c r="C422" s="3117"/>
      <c r="D422" s="3118"/>
      <c r="E422" s="2338"/>
      <c r="F422" s="2339">
        <f>SUM(G422:J422)</f>
        <v>0</v>
      </c>
      <c r="G422" s="2339"/>
      <c r="H422" s="2339"/>
      <c r="I422" s="2339"/>
      <c r="J422" s="2340"/>
    </row>
    <row r="423" spans="1:10" s="2333" customFormat="1" ht="15" hidden="1" customHeight="1">
      <c r="A423" s="3115"/>
      <c r="B423" s="3116"/>
      <c r="C423" s="3117"/>
      <c r="D423" s="3118"/>
      <c r="E423" s="2338"/>
      <c r="F423" s="2339">
        <f t="shared" ref="F423:F424" si="48">SUM(G423:J423)</f>
        <v>0</v>
      </c>
      <c r="G423" s="2339"/>
      <c r="H423" s="2339"/>
      <c r="I423" s="2339"/>
      <c r="J423" s="2340"/>
    </row>
    <row r="424" spans="1:10" s="2333" customFormat="1" ht="15" hidden="1" customHeight="1">
      <c r="A424" s="3115"/>
      <c r="B424" s="3116"/>
      <c r="C424" s="3117"/>
      <c r="D424" s="3118"/>
      <c r="E424" s="2338"/>
      <c r="F424" s="2339">
        <f t="shared" si="48"/>
        <v>0</v>
      </c>
      <c r="G424" s="2339"/>
      <c r="H424" s="2339"/>
      <c r="I424" s="2339"/>
      <c r="J424" s="2340"/>
    </row>
    <row r="425" spans="1:10" s="2333" customFormat="1" ht="15" customHeight="1">
      <c r="A425" s="3115"/>
      <c r="B425" s="3116"/>
      <c r="C425" s="3117"/>
      <c r="D425" s="3118"/>
      <c r="E425" s="2341" t="s">
        <v>1130</v>
      </c>
      <c r="F425" s="2336">
        <f>SUM(F426:F428)</f>
        <v>195766802</v>
      </c>
      <c r="G425" s="2336">
        <f>SUM(G426:G428)</f>
        <v>120579764</v>
      </c>
      <c r="H425" s="2336">
        <f>SUM(H426:H428)</f>
        <v>75187038</v>
      </c>
      <c r="I425" s="2336">
        <f>SUM(I426:I428)</f>
        <v>0</v>
      </c>
      <c r="J425" s="2337">
        <f>SUM(J426:J428)</f>
        <v>0</v>
      </c>
    </row>
    <row r="426" spans="1:10" s="2333" customFormat="1" ht="15" customHeight="1">
      <c r="A426" s="3115"/>
      <c r="B426" s="3116"/>
      <c r="C426" s="3117"/>
      <c r="D426" s="3118"/>
      <c r="E426" s="2338" t="s">
        <v>525</v>
      </c>
      <c r="F426" s="2339">
        <f t="shared" ref="F426" si="49">SUM(G426:J426)</f>
        <v>45392726</v>
      </c>
      <c r="G426" s="2339">
        <v>45392726</v>
      </c>
      <c r="H426" s="2339"/>
      <c r="I426" s="2339"/>
      <c r="J426" s="2340"/>
    </row>
    <row r="427" spans="1:10" s="2333" customFormat="1" ht="15" customHeight="1">
      <c r="A427" s="3115"/>
      <c r="B427" s="3116"/>
      <c r="C427" s="3117"/>
      <c r="D427" s="3118"/>
      <c r="E427" s="2338" t="s">
        <v>604</v>
      </c>
      <c r="F427" s="2339">
        <f>SUM(G427:J427)</f>
        <v>75187038</v>
      </c>
      <c r="G427" s="2339"/>
      <c r="H427" s="2339">
        <v>75187038</v>
      </c>
      <c r="I427" s="2339"/>
      <c r="J427" s="2340"/>
    </row>
    <row r="428" spans="1:10" s="2333" customFormat="1" ht="15" customHeight="1">
      <c r="A428" s="3115"/>
      <c r="B428" s="3116"/>
      <c r="C428" s="3117"/>
      <c r="D428" s="3118"/>
      <c r="E428" s="2344">
        <v>6069</v>
      </c>
      <c r="F428" s="2339">
        <f>SUM(G428:J428)</f>
        <v>75187038</v>
      </c>
      <c r="G428" s="2339">
        <v>75187038</v>
      </c>
      <c r="H428" s="2339"/>
      <c r="I428" s="2339"/>
      <c r="J428" s="2340"/>
    </row>
    <row r="429" spans="1:10" s="2333" customFormat="1" ht="22.5">
      <c r="A429" s="3115" t="s">
        <v>1176</v>
      </c>
      <c r="B429" s="3116" t="s">
        <v>1177</v>
      </c>
      <c r="C429" s="3117">
        <v>600</v>
      </c>
      <c r="D429" s="3118" t="s">
        <v>624</v>
      </c>
      <c r="E429" s="2330" t="s">
        <v>1129</v>
      </c>
      <c r="F429" s="2331">
        <f>SUM(F430,F439)</f>
        <v>8900286</v>
      </c>
      <c r="G429" s="2331">
        <f>SUM(G430,G439)</f>
        <v>5282327</v>
      </c>
      <c r="H429" s="2331">
        <f>SUM(H430,H439)</f>
        <v>3617959</v>
      </c>
      <c r="I429" s="2331">
        <f>SUM(I430,I439)</f>
        <v>0</v>
      </c>
      <c r="J429" s="2332">
        <f>SUM(J430,J439)</f>
        <v>0</v>
      </c>
    </row>
    <row r="430" spans="1:10" s="2333" customFormat="1" ht="21">
      <c r="A430" s="3115"/>
      <c r="B430" s="3116"/>
      <c r="C430" s="3117"/>
      <c r="D430" s="3118"/>
      <c r="E430" s="2335" t="s">
        <v>1135</v>
      </c>
      <c r="F430" s="2336">
        <f>SUM(F431,F435)</f>
        <v>0</v>
      </c>
      <c r="G430" s="2336">
        <f>SUM(G431,G435)</f>
        <v>0</v>
      </c>
      <c r="H430" s="2336">
        <f>SUM(H431,H435)</f>
        <v>0</v>
      </c>
      <c r="I430" s="2336">
        <f>SUM(I431,I435)</f>
        <v>0</v>
      </c>
      <c r="J430" s="2337">
        <f>SUM(J431,J435)</f>
        <v>0</v>
      </c>
    </row>
    <row r="431" spans="1:10" s="2333" customFormat="1" ht="15" hidden="1" customHeight="1">
      <c r="A431" s="3115"/>
      <c r="B431" s="3116"/>
      <c r="C431" s="3117"/>
      <c r="D431" s="3118"/>
      <c r="E431" s="2347" t="s">
        <v>1136</v>
      </c>
      <c r="F431" s="2348">
        <f>SUM(F432:F434)</f>
        <v>0</v>
      </c>
      <c r="G431" s="2348">
        <f>SUM(G432:G434)</f>
        <v>0</v>
      </c>
      <c r="H431" s="2348">
        <f>SUM(H432:H434)</f>
        <v>0</v>
      </c>
      <c r="I431" s="2348">
        <f>SUM(I432:I434)</f>
        <v>0</v>
      </c>
      <c r="J431" s="2349">
        <f>SUM(J432:J434)</f>
        <v>0</v>
      </c>
    </row>
    <row r="432" spans="1:10" s="2333" customFormat="1" ht="15" hidden="1" customHeight="1">
      <c r="A432" s="3115"/>
      <c r="B432" s="3116"/>
      <c r="C432" s="3117"/>
      <c r="D432" s="3118"/>
      <c r="E432" s="2338"/>
      <c r="F432" s="2339">
        <f>SUM(G432:J432)</f>
        <v>0</v>
      </c>
      <c r="G432" s="2339"/>
      <c r="H432" s="2339"/>
      <c r="I432" s="2339"/>
      <c r="J432" s="2340"/>
    </row>
    <row r="433" spans="1:11" s="2333" customFormat="1" ht="15" hidden="1" customHeight="1">
      <c r="A433" s="3115"/>
      <c r="B433" s="3116"/>
      <c r="C433" s="3117"/>
      <c r="D433" s="3118"/>
      <c r="E433" s="2338"/>
      <c r="F433" s="2339">
        <f>SUM(G433:J433)</f>
        <v>0</v>
      </c>
      <c r="G433" s="2339"/>
      <c r="H433" s="2339"/>
      <c r="I433" s="2339"/>
      <c r="J433" s="2340"/>
    </row>
    <row r="434" spans="1:11" s="2333" customFormat="1" ht="15" hidden="1" customHeight="1">
      <c r="A434" s="3115"/>
      <c r="B434" s="3116"/>
      <c r="C434" s="3117"/>
      <c r="D434" s="3118"/>
      <c r="E434" s="2338"/>
      <c r="F434" s="2339">
        <f>SUM(G434:J434)</f>
        <v>0</v>
      </c>
      <c r="G434" s="2339"/>
      <c r="H434" s="2339"/>
      <c r="I434" s="2339"/>
      <c r="J434" s="2340"/>
    </row>
    <row r="435" spans="1:11" s="2333" customFormat="1" ht="15" hidden="1" customHeight="1">
      <c r="A435" s="3115"/>
      <c r="B435" s="3116"/>
      <c r="C435" s="3117"/>
      <c r="D435" s="3118"/>
      <c r="E435" s="2347" t="s">
        <v>1137</v>
      </c>
      <c r="F435" s="2348">
        <f>SUM(F436:F438)</f>
        <v>0</v>
      </c>
      <c r="G435" s="2348">
        <f>SUM(G436:G438)</f>
        <v>0</v>
      </c>
      <c r="H435" s="2348">
        <f>SUM(H436:H438)</f>
        <v>0</v>
      </c>
      <c r="I435" s="2348">
        <f>SUM(I436:I438)</f>
        <v>0</v>
      </c>
      <c r="J435" s="2349">
        <f>SUM(J436:J438)</f>
        <v>0</v>
      </c>
    </row>
    <row r="436" spans="1:11" s="2333" customFormat="1" ht="15" hidden="1" customHeight="1">
      <c r="A436" s="3115"/>
      <c r="B436" s="3116"/>
      <c r="C436" s="3117"/>
      <c r="D436" s="3118"/>
      <c r="E436" s="2338"/>
      <c r="F436" s="2339">
        <f>SUM(G436:J436)</f>
        <v>0</v>
      </c>
      <c r="G436" s="2339"/>
      <c r="H436" s="2339"/>
      <c r="I436" s="2339"/>
      <c r="J436" s="2340"/>
    </row>
    <row r="437" spans="1:11" s="2333" customFormat="1" ht="15" hidden="1" customHeight="1">
      <c r="A437" s="3115"/>
      <c r="B437" s="3116"/>
      <c r="C437" s="3117"/>
      <c r="D437" s="3118"/>
      <c r="E437" s="2338"/>
      <c r="F437" s="2339">
        <f t="shared" ref="F437:F438" si="50">SUM(G437:J437)</f>
        <v>0</v>
      </c>
      <c r="G437" s="2339"/>
      <c r="H437" s="2339"/>
      <c r="I437" s="2339"/>
      <c r="J437" s="2340"/>
    </row>
    <row r="438" spans="1:11" s="2333" customFormat="1" ht="15" hidden="1" customHeight="1">
      <c r="A438" s="3115"/>
      <c r="B438" s="3116"/>
      <c r="C438" s="3117"/>
      <c r="D438" s="3118"/>
      <c r="E438" s="2338"/>
      <c r="F438" s="2339">
        <f t="shared" si="50"/>
        <v>0</v>
      </c>
      <c r="G438" s="2339"/>
      <c r="H438" s="2339"/>
      <c r="I438" s="2339"/>
      <c r="J438" s="2340"/>
    </row>
    <row r="439" spans="1:11" s="2333" customFormat="1" ht="15" customHeight="1">
      <c r="A439" s="3115"/>
      <c r="B439" s="3116"/>
      <c r="C439" s="3117"/>
      <c r="D439" s="3118"/>
      <c r="E439" s="2341" t="s">
        <v>1130</v>
      </c>
      <c r="F439" s="2336">
        <f>SUM(F440:F445)</f>
        <v>8900286</v>
      </c>
      <c r="G439" s="2336">
        <f>SUM(G440:G445)</f>
        <v>5282327</v>
      </c>
      <c r="H439" s="2336">
        <f>SUM(H440:H445)</f>
        <v>3617959</v>
      </c>
      <c r="I439" s="2336">
        <f>SUM(I440:I445)</f>
        <v>0</v>
      </c>
      <c r="J439" s="2337">
        <f>SUM(J440:J445)</f>
        <v>0</v>
      </c>
    </row>
    <row r="440" spans="1:11" s="2333" customFormat="1" ht="15" customHeight="1">
      <c r="A440" s="3115"/>
      <c r="B440" s="3116"/>
      <c r="C440" s="3117"/>
      <c r="D440" s="3118"/>
      <c r="E440" s="2338" t="s">
        <v>531</v>
      </c>
      <c r="F440" s="2339">
        <f>SUM(G440:J440)</f>
        <v>943802</v>
      </c>
      <c r="G440" s="2339">
        <v>943802</v>
      </c>
      <c r="H440" s="2339"/>
      <c r="I440" s="2339"/>
      <c r="J440" s="2340"/>
    </row>
    <row r="441" spans="1:11" s="2333" customFormat="1" ht="15" customHeight="1">
      <c r="A441" s="3115"/>
      <c r="B441" s="3116"/>
      <c r="C441" s="3117"/>
      <c r="D441" s="3118"/>
      <c r="E441" s="2338" t="s">
        <v>625</v>
      </c>
      <c r="F441" s="2339">
        <f t="shared" ref="F441:F443" si="51">SUM(G441:J441)</f>
        <v>2051514</v>
      </c>
      <c r="G441" s="2339"/>
      <c r="H441" s="2339">
        <v>2051514</v>
      </c>
      <c r="I441" s="2339"/>
      <c r="J441" s="2340"/>
    </row>
    <row r="442" spans="1:11" s="2333" customFormat="1" ht="15" customHeight="1">
      <c r="A442" s="3115"/>
      <c r="B442" s="3116"/>
      <c r="C442" s="3117"/>
      <c r="D442" s="3118"/>
      <c r="E442" s="2338" t="s">
        <v>626</v>
      </c>
      <c r="F442" s="2339">
        <f t="shared" si="51"/>
        <v>2051514</v>
      </c>
      <c r="G442" s="2339">
        <v>2051514</v>
      </c>
      <c r="H442" s="2339"/>
      <c r="I442" s="2339"/>
      <c r="J442" s="2340"/>
    </row>
    <row r="443" spans="1:11" s="2333" customFormat="1" ht="15" customHeight="1">
      <c r="A443" s="3115"/>
      <c r="B443" s="3116"/>
      <c r="C443" s="3117"/>
      <c r="D443" s="3118"/>
      <c r="E443" s="2338" t="s">
        <v>525</v>
      </c>
      <c r="F443" s="2339">
        <f t="shared" si="51"/>
        <v>720566</v>
      </c>
      <c r="G443" s="2339">
        <v>720566</v>
      </c>
      <c r="H443" s="2339"/>
      <c r="I443" s="2339"/>
      <c r="J443" s="2340"/>
    </row>
    <row r="444" spans="1:11" s="2333" customFormat="1" ht="15" customHeight="1">
      <c r="A444" s="3115"/>
      <c r="B444" s="3116"/>
      <c r="C444" s="3117"/>
      <c r="D444" s="3118"/>
      <c r="E444" s="2338" t="s">
        <v>604</v>
      </c>
      <c r="F444" s="2339">
        <f>SUM(G444:J444)</f>
        <v>1566445</v>
      </c>
      <c r="G444" s="2339"/>
      <c r="H444" s="2339">
        <v>1566445</v>
      </c>
      <c r="I444" s="2339"/>
      <c r="J444" s="2340"/>
    </row>
    <row r="445" spans="1:11" s="2333" customFormat="1" ht="15" customHeight="1">
      <c r="A445" s="3115"/>
      <c r="B445" s="3116"/>
      <c r="C445" s="3117"/>
      <c r="D445" s="3118"/>
      <c r="E445" s="2344">
        <v>6069</v>
      </c>
      <c r="F445" s="2339">
        <f>SUM(G445:J445)</f>
        <v>1566445</v>
      </c>
      <c r="G445" s="2339">
        <v>1566445</v>
      </c>
      <c r="H445" s="2339"/>
      <c r="I445" s="2339"/>
      <c r="J445" s="2340"/>
    </row>
    <row r="446" spans="1:11" s="2333" customFormat="1" ht="22.5">
      <c r="A446" s="3115" t="s">
        <v>1178</v>
      </c>
      <c r="B446" s="3116" t="s">
        <v>1179</v>
      </c>
      <c r="C446" s="3118" t="s">
        <v>192</v>
      </c>
      <c r="D446" s="3118" t="s">
        <v>672</v>
      </c>
      <c r="E446" s="2330" t="s">
        <v>1129</v>
      </c>
      <c r="F446" s="2331">
        <f>SUM(F447,F468)</f>
        <v>230182</v>
      </c>
      <c r="G446" s="2331">
        <f>SUM(G447,G468)</f>
        <v>230182</v>
      </c>
      <c r="H446" s="2331">
        <f>SUM(H447,H468)</f>
        <v>0</v>
      </c>
      <c r="I446" s="2331">
        <f>SUM(I447,I468)</f>
        <v>0</v>
      </c>
      <c r="J446" s="2332">
        <f>SUM(J447,J468)</f>
        <v>0</v>
      </c>
      <c r="K446" s="2369"/>
    </row>
    <row r="447" spans="1:11" s="2333" customFormat="1" ht="21">
      <c r="A447" s="3115"/>
      <c r="B447" s="3116"/>
      <c r="C447" s="3118"/>
      <c r="D447" s="3118"/>
      <c r="E447" s="2335" t="s">
        <v>1135</v>
      </c>
      <c r="F447" s="2336">
        <f>SUM(F448,F459)</f>
        <v>230182</v>
      </c>
      <c r="G447" s="2336">
        <f>SUM(G448,G459)</f>
        <v>230182</v>
      </c>
      <c r="H447" s="2336">
        <f>SUM(H448,H459)</f>
        <v>0</v>
      </c>
      <c r="I447" s="2336">
        <f>SUM(I448,I459)</f>
        <v>0</v>
      </c>
      <c r="J447" s="2337">
        <f>SUM(J448,J459)</f>
        <v>0</v>
      </c>
      <c r="K447" s="2369"/>
    </row>
    <row r="448" spans="1:11" s="2333" customFormat="1" ht="22.5">
      <c r="A448" s="3115"/>
      <c r="B448" s="3116"/>
      <c r="C448" s="3118"/>
      <c r="D448" s="3118"/>
      <c r="E448" s="2347" t="s">
        <v>1136</v>
      </c>
      <c r="F448" s="2348">
        <f>SUM(F449:F458)</f>
        <v>110000</v>
      </c>
      <c r="G448" s="2348">
        <f>SUM(G449:G458)</f>
        <v>110000</v>
      </c>
      <c r="H448" s="2348">
        <f>SUM(H449:H458)</f>
        <v>0</v>
      </c>
      <c r="I448" s="2348">
        <f>SUM(I449:I458)</f>
        <v>0</v>
      </c>
      <c r="J448" s="2349">
        <f>SUM(J449:J458)</f>
        <v>0</v>
      </c>
      <c r="K448" s="2369"/>
    </row>
    <row r="449" spans="1:11" s="2333" customFormat="1" ht="15" customHeight="1">
      <c r="A449" s="3115"/>
      <c r="B449" s="3116"/>
      <c r="C449" s="3118"/>
      <c r="D449" s="3118"/>
      <c r="E449" s="2338" t="s">
        <v>540</v>
      </c>
      <c r="F449" s="2339">
        <f t="shared" ref="F449:F458" si="52">SUM(G449:J449)</f>
        <v>78152</v>
      </c>
      <c r="G449" s="2339">
        <v>78152</v>
      </c>
      <c r="H449" s="2339"/>
      <c r="I449" s="2339"/>
      <c r="J449" s="2340"/>
      <c r="K449" s="2370"/>
    </row>
    <row r="450" spans="1:11" s="2333" customFormat="1" ht="15" customHeight="1">
      <c r="A450" s="3115"/>
      <c r="B450" s="3116"/>
      <c r="C450" s="3118"/>
      <c r="D450" s="3118"/>
      <c r="E450" s="2338" t="s">
        <v>541</v>
      </c>
      <c r="F450" s="2339">
        <f t="shared" si="52"/>
        <v>13791</v>
      </c>
      <c r="G450" s="2339">
        <v>13791</v>
      </c>
      <c r="H450" s="2339"/>
      <c r="I450" s="2339"/>
      <c r="J450" s="2340"/>
      <c r="K450" s="2370"/>
    </row>
    <row r="451" spans="1:11" s="2333" customFormat="1" ht="15" hidden="1" customHeight="1">
      <c r="A451" s="3115"/>
      <c r="B451" s="3116"/>
      <c r="C451" s="3118"/>
      <c r="D451" s="3118"/>
      <c r="E451" s="2338" t="s">
        <v>542</v>
      </c>
      <c r="F451" s="2339">
        <f t="shared" si="52"/>
        <v>0</v>
      </c>
      <c r="G451" s="2339"/>
      <c r="H451" s="2339"/>
      <c r="I451" s="2339"/>
      <c r="J451" s="2340"/>
      <c r="K451" s="2369"/>
    </row>
    <row r="452" spans="1:11" s="2333" customFormat="1" ht="15" hidden="1" customHeight="1">
      <c r="A452" s="3115"/>
      <c r="B452" s="3116"/>
      <c r="C452" s="3118"/>
      <c r="D452" s="3118"/>
      <c r="E452" s="2338" t="s">
        <v>543</v>
      </c>
      <c r="F452" s="2339">
        <f t="shared" si="52"/>
        <v>0</v>
      </c>
      <c r="G452" s="2339"/>
      <c r="H452" s="2339"/>
      <c r="I452" s="2339"/>
      <c r="J452" s="2340"/>
      <c r="K452" s="2369"/>
    </row>
    <row r="453" spans="1:11" s="2333" customFormat="1" ht="15" customHeight="1">
      <c r="A453" s="3115"/>
      <c r="B453" s="3116"/>
      <c r="C453" s="3118"/>
      <c r="D453" s="3118"/>
      <c r="E453" s="2338" t="s">
        <v>544</v>
      </c>
      <c r="F453" s="2339">
        <f t="shared" si="52"/>
        <v>13434</v>
      </c>
      <c r="G453" s="2339">
        <v>13434</v>
      </c>
      <c r="H453" s="2339"/>
      <c r="I453" s="2339"/>
      <c r="J453" s="2340"/>
      <c r="K453" s="2371"/>
    </row>
    <row r="454" spans="1:11" s="2333" customFormat="1" ht="15" customHeight="1">
      <c r="A454" s="3115"/>
      <c r="B454" s="3116"/>
      <c r="C454" s="3118"/>
      <c r="D454" s="3118"/>
      <c r="E454" s="2338" t="s">
        <v>545</v>
      </c>
      <c r="F454" s="2339">
        <f t="shared" si="52"/>
        <v>2371</v>
      </c>
      <c r="G454" s="2339">
        <v>2371</v>
      </c>
      <c r="H454" s="2339"/>
      <c r="I454" s="2339"/>
      <c r="J454" s="2340"/>
      <c r="K454" s="2369"/>
    </row>
    <row r="455" spans="1:11" s="2333" customFormat="1" ht="15" customHeight="1">
      <c r="A455" s="3115"/>
      <c r="B455" s="3116"/>
      <c r="C455" s="3118"/>
      <c r="D455" s="3118"/>
      <c r="E455" s="2338" t="s">
        <v>546</v>
      </c>
      <c r="F455" s="2339">
        <f t="shared" si="52"/>
        <v>1914</v>
      </c>
      <c r="G455" s="2339">
        <v>1914</v>
      </c>
      <c r="H455" s="2339"/>
      <c r="I455" s="2339"/>
      <c r="J455" s="2340"/>
      <c r="K455" s="2369"/>
    </row>
    <row r="456" spans="1:11" s="2333" customFormat="1" ht="15" customHeight="1">
      <c r="A456" s="3115"/>
      <c r="B456" s="3116"/>
      <c r="C456" s="3118"/>
      <c r="D456" s="3118"/>
      <c r="E456" s="2338" t="s">
        <v>547</v>
      </c>
      <c r="F456" s="2339">
        <f t="shared" si="52"/>
        <v>338</v>
      </c>
      <c r="G456" s="2339">
        <v>338</v>
      </c>
      <c r="H456" s="2339"/>
      <c r="I456" s="2339"/>
      <c r="J456" s="2340"/>
      <c r="K456" s="2370"/>
    </row>
    <row r="457" spans="1:11" s="2333" customFormat="1" ht="15" hidden="1" customHeight="1">
      <c r="A457" s="3115"/>
      <c r="B457" s="3116"/>
      <c r="C457" s="3118"/>
      <c r="D457" s="3118"/>
      <c r="E457" s="2338" t="s">
        <v>548</v>
      </c>
      <c r="F457" s="2339">
        <f t="shared" si="52"/>
        <v>0</v>
      </c>
      <c r="G457" s="2339"/>
      <c r="H457" s="2339"/>
      <c r="I457" s="2339"/>
      <c r="J457" s="2340"/>
      <c r="K457" s="2369"/>
    </row>
    <row r="458" spans="1:11" s="2333" customFormat="1" ht="15" hidden="1" customHeight="1">
      <c r="A458" s="3115"/>
      <c r="B458" s="3116"/>
      <c r="C458" s="3118"/>
      <c r="D458" s="3118"/>
      <c r="E458" s="2338" t="s">
        <v>549</v>
      </c>
      <c r="F458" s="2339">
        <f t="shared" si="52"/>
        <v>0</v>
      </c>
      <c r="G458" s="2339"/>
      <c r="H458" s="2339"/>
      <c r="I458" s="2339"/>
      <c r="J458" s="2340"/>
      <c r="K458" s="2369"/>
    </row>
    <row r="459" spans="1:11" s="2333" customFormat="1" ht="22.5">
      <c r="A459" s="3115"/>
      <c r="B459" s="3116"/>
      <c r="C459" s="3118"/>
      <c r="D459" s="3118"/>
      <c r="E459" s="2347" t="s">
        <v>1137</v>
      </c>
      <c r="F459" s="2348">
        <f>SUM(F460:F467)</f>
        <v>120182</v>
      </c>
      <c r="G459" s="2348">
        <f>SUM(G460:G467)</f>
        <v>120182</v>
      </c>
      <c r="H459" s="2348">
        <f>SUM(H460:H467)</f>
        <v>0</v>
      </c>
      <c r="I459" s="2348">
        <f>SUM(I460:I467)</f>
        <v>0</v>
      </c>
      <c r="J459" s="2349">
        <f>SUM(J460:J467)</f>
        <v>0</v>
      </c>
      <c r="K459" s="2370"/>
    </row>
    <row r="460" spans="1:11" s="2333" customFormat="1" ht="15" customHeight="1">
      <c r="A460" s="3115"/>
      <c r="B460" s="3116"/>
      <c r="C460" s="3118"/>
      <c r="D460" s="3118"/>
      <c r="E460" s="2338" t="s">
        <v>553</v>
      </c>
      <c r="F460" s="2339">
        <f t="shared" ref="F460:F467" si="53">SUM(G460:J460)</f>
        <v>17425</v>
      </c>
      <c r="G460" s="2339">
        <v>17425</v>
      </c>
      <c r="H460" s="2339"/>
      <c r="I460" s="2339"/>
      <c r="J460" s="2340"/>
      <c r="K460" s="2369"/>
    </row>
    <row r="461" spans="1:11" s="2333" customFormat="1" ht="15" customHeight="1">
      <c r="A461" s="3115"/>
      <c r="B461" s="3116"/>
      <c r="C461" s="3118"/>
      <c r="D461" s="3118"/>
      <c r="E461" s="2338" t="s">
        <v>554</v>
      </c>
      <c r="F461" s="2339">
        <f t="shared" si="53"/>
        <v>3075</v>
      </c>
      <c r="G461" s="2339">
        <v>3075</v>
      </c>
      <c r="H461" s="2339"/>
      <c r="I461" s="2339"/>
      <c r="J461" s="2340"/>
      <c r="K461" s="2369"/>
    </row>
    <row r="462" spans="1:11" s="2333" customFormat="1" ht="15" customHeight="1">
      <c r="A462" s="3115"/>
      <c r="B462" s="3116"/>
      <c r="C462" s="3118"/>
      <c r="D462" s="3118"/>
      <c r="E462" s="2338" t="s">
        <v>557</v>
      </c>
      <c r="F462" s="2339">
        <f t="shared" si="53"/>
        <v>52429</v>
      </c>
      <c r="G462" s="2339">
        <v>52429</v>
      </c>
      <c r="H462" s="2339"/>
      <c r="I462" s="2339"/>
      <c r="J462" s="2340"/>
      <c r="K462" s="2369"/>
    </row>
    <row r="463" spans="1:11" s="2333" customFormat="1" ht="15" customHeight="1">
      <c r="A463" s="3115"/>
      <c r="B463" s="3116"/>
      <c r="C463" s="3118"/>
      <c r="D463" s="3118"/>
      <c r="E463" s="2338" t="s">
        <v>558</v>
      </c>
      <c r="F463" s="2339">
        <f t="shared" si="53"/>
        <v>9253</v>
      </c>
      <c r="G463" s="2339">
        <v>9253</v>
      </c>
      <c r="H463" s="2339"/>
      <c r="I463" s="2339"/>
      <c r="J463" s="2340"/>
      <c r="K463" s="2369"/>
    </row>
    <row r="464" spans="1:11" s="2333" customFormat="1" ht="15" customHeight="1">
      <c r="A464" s="3115"/>
      <c r="B464" s="3116"/>
      <c r="C464" s="3118"/>
      <c r="D464" s="3118"/>
      <c r="E464" s="2338" t="s">
        <v>675</v>
      </c>
      <c r="F464" s="2339">
        <f t="shared" si="53"/>
        <v>2550</v>
      </c>
      <c r="G464" s="2339">
        <v>2550</v>
      </c>
      <c r="H464" s="2339"/>
      <c r="I464" s="2339"/>
      <c r="J464" s="2340"/>
      <c r="K464" s="2369"/>
    </row>
    <row r="465" spans="1:11" s="2333" customFormat="1" ht="15" customHeight="1">
      <c r="A465" s="3115"/>
      <c r="B465" s="3116"/>
      <c r="C465" s="3118"/>
      <c r="D465" s="3118"/>
      <c r="E465" s="2338" t="s">
        <v>648</v>
      </c>
      <c r="F465" s="2339">
        <f t="shared" si="53"/>
        <v>450</v>
      </c>
      <c r="G465" s="2339">
        <v>450</v>
      </c>
      <c r="H465" s="2339"/>
      <c r="I465" s="2339"/>
      <c r="J465" s="2340"/>
      <c r="K465" s="2369"/>
    </row>
    <row r="466" spans="1:11" s="2333" customFormat="1" ht="15" customHeight="1">
      <c r="A466" s="3115"/>
      <c r="B466" s="3116"/>
      <c r="C466" s="3118"/>
      <c r="D466" s="3118"/>
      <c r="E466" s="2338" t="s">
        <v>650</v>
      </c>
      <c r="F466" s="2339">
        <f t="shared" si="53"/>
        <v>29750</v>
      </c>
      <c r="G466" s="2339">
        <v>29750</v>
      </c>
      <c r="H466" s="2339"/>
      <c r="I466" s="2339"/>
      <c r="J466" s="2340"/>
      <c r="K466" s="2369"/>
    </row>
    <row r="467" spans="1:11" s="2333" customFormat="1" ht="15" customHeight="1">
      <c r="A467" s="3115"/>
      <c r="B467" s="3116"/>
      <c r="C467" s="3118"/>
      <c r="D467" s="3118"/>
      <c r="E467" s="2338" t="s">
        <v>651</v>
      </c>
      <c r="F467" s="2339">
        <f t="shared" si="53"/>
        <v>5250</v>
      </c>
      <c r="G467" s="2339">
        <v>5250</v>
      </c>
      <c r="H467" s="2339"/>
      <c r="I467" s="2339"/>
      <c r="J467" s="2340"/>
      <c r="K467" s="2369"/>
    </row>
    <row r="468" spans="1:11" s="2333" customFormat="1" ht="15" customHeight="1">
      <c r="A468" s="3115"/>
      <c r="B468" s="3116"/>
      <c r="C468" s="3118"/>
      <c r="D468" s="3118"/>
      <c r="E468" s="2341" t="s">
        <v>1130</v>
      </c>
      <c r="F468" s="2336">
        <f>SUM(F469:F470)</f>
        <v>0</v>
      </c>
      <c r="G468" s="2336">
        <f>SUM(G469:G470)</f>
        <v>0</v>
      </c>
      <c r="H468" s="2336">
        <f>SUM(H469:H470)</f>
        <v>0</v>
      </c>
      <c r="I468" s="2336">
        <f>SUM(I469:I470)</f>
        <v>0</v>
      </c>
      <c r="J468" s="2337">
        <f>SUM(J469:J470)</f>
        <v>0</v>
      </c>
      <c r="K468" s="2369"/>
    </row>
    <row r="469" spans="1:11" s="2333" customFormat="1" ht="15" hidden="1" customHeight="1">
      <c r="A469" s="2350"/>
      <c r="B469" s="2351"/>
      <c r="C469" s="2353"/>
      <c r="D469" s="2353"/>
      <c r="E469" s="2354" t="s">
        <v>638</v>
      </c>
      <c r="F469" s="2355">
        <f>SUM(G469:J469)</f>
        <v>0</v>
      </c>
      <c r="G469" s="2355"/>
      <c r="H469" s="2355"/>
      <c r="I469" s="2355"/>
      <c r="J469" s="2356"/>
    </row>
    <row r="470" spans="1:11" s="2333" customFormat="1" ht="15" hidden="1" customHeight="1">
      <c r="A470" s="2350"/>
      <c r="B470" s="2351"/>
      <c r="C470" s="2353"/>
      <c r="D470" s="2353"/>
      <c r="E470" s="2368">
        <v>6069</v>
      </c>
      <c r="F470" s="2355">
        <f>SUM(G470:J470)</f>
        <v>0</v>
      </c>
      <c r="G470" s="2355"/>
      <c r="H470" s="2355"/>
      <c r="I470" s="2355"/>
      <c r="J470" s="2356"/>
    </row>
    <row r="471" spans="1:11" s="2369" customFormat="1" ht="22.5">
      <c r="A471" s="3115" t="s">
        <v>1180</v>
      </c>
      <c r="B471" s="3116" t="s">
        <v>1181</v>
      </c>
      <c r="C471" s="3118" t="s">
        <v>10</v>
      </c>
      <c r="D471" s="3118" t="s">
        <v>908</v>
      </c>
      <c r="E471" s="2330" t="s">
        <v>1129</v>
      </c>
      <c r="F471" s="2331">
        <f>SUM(F472,F491)</f>
        <v>20000</v>
      </c>
      <c r="G471" s="2331">
        <f>SUM(G472,G491)</f>
        <v>20000</v>
      </c>
      <c r="H471" s="2331">
        <f>SUM(H472,H491)</f>
        <v>0</v>
      </c>
      <c r="I471" s="2331">
        <f>SUM(I472,I491)</f>
        <v>0</v>
      </c>
      <c r="J471" s="2332">
        <f>SUM(J472,J491)</f>
        <v>0</v>
      </c>
    </row>
    <row r="472" spans="1:11" s="2369" customFormat="1" ht="21">
      <c r="A472" s="3115"/>
      <c r="B472" s="3116"/>
      <c r="C472" s="3118"/>
      <c r="D472" s="3118"/>
      <c r="E472" s="2335" t="s">
        <v>1135</v>
      </c>
      <c r="F472" s="2336">
        <f>SUM(F473,F482)</f>
        <v>20000</v>
      </c>
      <c r="G472" s="2336">
        <f>SUM(G473,G482)</f>
        <v>20000</v>
      </c>
      <c r="H472" s="2336">
        <f>SUM(H473,H482)</f>
        <v>0</v>
      </c>
      <c r="I472" s="2336">
        <f>SUM(I473,I482)</f>
        <v>0</v>
      </c>
      <c r="J472" s="2337">
        <f>SUM(J473,J482)</f>
        <v>0</v>
      </c>
    </row>
    <row r="473" spans="1:11" s="2369" customFormat="1" ht="22.5">
      <c r="A473" s="3115"/>
      <c r="B473" s="3116"/>
      <c r="C473" s="3118"/>
      <c r="D473" s="3118"/>
      <c r="E473" s="2347" t="s">
        <v>1136</v>
      </c>
      <c r="F473" s="2348">
        <f>SUM(F474:F481)</f>
        <v>5500</v>
      </c>
      <c r="G473" s="2348">
        <f>SUM(G474:G481)</f>
        <v>5500</v>
      </c>
      <c r="H473" s="2348">
        <f>SUM(H474:H481)</f>
        <v>0</v>
      </c>
      <c r="I473" s="2348">
        <f>SUM(I474:I481)</f>
        <v>0</v>
      </c>
      <c r="J473" s="2349">
        <f>SUM(J474:J481)</f>
        <v>0</v>
      </c>
    </row>
    <row r="474" spans="1:11" s="2369" customFormat="1" ht="15" customHeight="1">
      <c r="A474" s="3115"/>
      <c r="B474" s="3116"/>
      <c r="C474" s="3118"/>
      <c r="D474" s="3118"/>
      <c r="E474" s="2338" t="s">
        <v>540</v>
      </c>
      <c r="F474" s="2339">
        <f t="shared" ref="F474:F481" si="54">SUM(G474:J474)</f>
        <v>4212</v>
      </c>
      <c r="G474" s="2339">
        <v>4212</v>
      </c>
      <c r="H474" s="2339"/>
      <c r="I474" s="2339"/>
      <c r="J474" s="2340"/>
      <c r="K474" s="2370"/>
    </row>
    <row r="475" spans="1:11" s="2369" customFormat="1" ht="15" customHeight="1">
      <c r="A475" s="3115"/>
      <c r="B475" s="3116"/>
      <c r="C475" s="3118"/>
      <c r="D475" s="3118"/>
      <c r="E475" s="2338" t="s">
        <v>541</v>
      </c>
      <c r="F475" s="2339">
        <f t="shared" si="54"/>
        <v>743</v>
      </c>
      <c r="G475" s="2339">
        <v>743</v>
      </c>
      <c r="H475" s="2339"/>
      <c r="I475" s="2339"/>
      <c r="J475" s="2340"/>
      <c r="K475" s="2370"/>
    </row>
    <row r="476" spans="1:11" s="2369" customFormat="1" ht="15" customHeight="1">
      <c r="A476" s="3115"/>
      <c r="B476" s="3116"/>
      <c r="C476" s="3118"/>
      <c r="D476" s="3118"/>
      <c r="E476" s="2338" t="s">
        <v>544</v>
      </c>
      <c r="F476" s="2339">
        <f t="shared" si="54"/>
        <v>378</v>
      </c>
      <c r="G476" s="2339">
        <v>378</v>
      </c>
      <c r="H476" s="2339"/>
      <c r="I476" s="2339"/>
      <c r="J476" s="2340"/>
      <c r="K476" s="2371"/>
    </row>
    <row r="477" spans="1:11" s="2369" customFormat="1" ht="15" customHeight="1">
      <c r="A477" s="3115"/>
      <c r="B477" s="3116"/>
      <c r="C477" s="3118"/>
      <c r="D477" s="3118"/>
      <c r="E477" s="2338" t="s">
        <v>545</v>
      </c>
      <c r="F477" s="2339">
        <f t="shared" si="54"/>
        <v>67</v>
      </c>
      <c r="G477" s="2339">
        <v>67</v>
      </c>
      <c r="H477" s="2339"/>
      <c r="I477" s="2339"/>
      <c r="J477" s="2340"/>
    </row>
    <row r="478" spans="1:11" s="2369" customFormat="1" ht="15" customHeight="1">
      <c r="A478" s="3115"/>
      <c r="B478" s="3116"/>
      <c r="C478" s="3118"/>
      <c r="D478" s="3118"/>
      <c r="E478" s="2338" t="s">
        <v>546</v>
      </c>
      <c r="F478" s="2339">
        <f t="shared" si="54"/>
        <v>85</v>
      </c>
      <c r="G478" s="2339">
        <v>85</v>
      </c>
      <c r="H478" s="2339"/>
      <c r="I478" s="2339"/>
      <c r="J478" s="2340"/>
    </row>
    <row r="479" spans="1:11" s="2369" customFormat="1" ht="15" customHeight="1">
      <c r="A479" s="3115"/>
      <c r="B479" s="3116"/>
      <c r="C479" s="3118"/>
      <c r="D479" s="3118"/>
      <c r="E479" s="2338" t="s">
        <v>547</v>
      </c>
      <c r="F479" s="2339">
        <f t="shared" si="54"/>
        <v>15</v>
      </c>
      <c r="G479" s="2339">
        <v>15</v>
      </c>
      <c r="H479" s="2339"/>
      <c r="I479" s="2339"/>
      <c r="J479" s="2340"/>
    </row>
    <row r="480" spans="1:11" s="2369" customFormat="1" ht="15" hidden="1" customHeight="1">
      <c r="A480" s="3115"/>
      <c r="B480" s="3116"/>
      <c r="C480" s="3118"/>
      <c r="D480" s="3118"/>
      <c r="E480" s="2338" t="s">
        <v>548</v>
      </c>
      <c r="F480" s="2339">
        <f t="shared" si="54"/>
        <v>0</v>
      </c>
      <c r="G480" s="2339"/>
      <c r="H480" s="2339"/>
      <c r="I480" s="2339"/>
      <c r="J480" s="2340"/>
    </row>
    <row r="481" spans="1:10" s="2369" customFormat="1" ht="15" hidden="1" customHeight="1">
      <c r="A481" s="3115"/>
      <c r="B481" s="3116"/>
      <c r="C481" s="3118"/>
      <c r="D481" s="3118"/>
      <c r="E481" s="2338" t="s">
        <v>549</v>
      </c>
      <c r="F481" s="2339">
        <f t="shared" si="54"/>
        <v>0</v>
      </c>
      <c r="G481" s="2339"/>
      <c r="H481" s="2339"/>
      <c r="I481" s="2339"/>
      <c r="J481" s="2340"/>
    </row>
    <row r="482" spans="1:10" s="2369" customFormat="1" ht="22.5">
      <c r="A482" s="3115"/>
      <c r="B482" s="3116"/>
      <c r="C482" s="3118"/>
      <c r="D482" s="3118"/>
      <c r="E482" s="2347" t="s">
        <v>1137</v>
      </c>
      <c r="F482" s="2348">
        <f>SUM(F483:F490)</f>
        <v>14500</v>
      </c>
      <c r="G482" s="2348">
        <f>SUM(G483:G490)</f>
        <v>14500</v>
      </c>
      <c r="H482" s="2348">
        <f>SUM(H483:H490)</f>
        <v>0</v>
      </c>
      <c r="I482" s="2348">
        <f>SUM(I483:I490)</f>
        <v>0</v>
      </c>
      <c r="J482" s="2349">
        <f>SUM(J483:J490)</f>
        <v>0</v>
      </c>
    </row>
    <row r="483" spans="1:10" s="2369" customFormat="1" ht="15" customHeight="1">
      <c r="A483" s="3115"/>
      <c r="B483" s="3116"/>
      <c r="C483" s="3118"/>
      <c r="D483" s="3118"/>
      <c r="E483" s="2338" t="s">
        <v>553</v>
      </c>
      <c r="F483" s="2339">
        <f t="shared" ref="F483:F490" si="55">SUM(G483:J483)</f>
        <v>680</v>
      </c>
      <c r="G483" s="2339">
        <v>680</v>
      </c>
      <c r="H483" s="2339"/>
      <c r="I483" s="2339"/>
      <c r="J483" s="2340"/>
    </row>
    <row r="484" spans="1:10" s="2369" customFormat="1" ht="15" customHeight="1">
      <c r="A484" s="3115"/>
      <c r="B484" s="3116"/>
      <c r="C484" s="3118"/>
      <c r="D484" s="3118"/>
      <c r="E484" s="2338" t="s">
        <v>554</v>
      </c>
      <c r="F484" s="2339">
        <f t="shared" si="55"/>
        <v>120</v>
      </c>
      <c r="G484" s="2339">
        <v>120</v>
      </c>
      <c r="H484" s="2339"/>
      <c r="I484" s="2339"/>
      <c r="J484" s="2340"/>
    </row>
    <row r="485" spans="1:10" s="2369" customFormat="1" ht="15" customHeight="1">
      <c r="A485" s="3115"/>
      <c r="B485" s="3116"/>
      <c r="C485" s="3118"/>
      <c r="D485" s="3118"/>
      <c r="E485" s="2338" t="s">
        <v>557</v>
      </c>
      <c r="F485" s="2339">
        <f t="shared" si="55"/>
        <v>5270</v>
      </c>
      <c r="G485" s="2339">
        <v>5270</v>
      </c>
      <c r="H485" s="2339"/>
      <c r="I485" s="2339"/>
      <c r="J485" s="2340"/>
    </row>
    <row r="486" spans="1:10" s="2369" customFormat="1" ht="15" customHeight="1">
      <c r="A486" s="3115"/>
      <c r="B486" s="3116"/>
      <c r="C486" s="3118"/>
      <c r="D486" s="3118"/>
      <c r="E486" s="2338" t="s">
        <v>558</v>
      </c>
      <c r="F486" s="2339">
        <f t="shared" si="55"/>
        <v>930</v>
      </c>
      <c r="G486" s="2339">
        <v>930</v>
      </c>
      <c r="H486" s="2339"/>
      <c r="I486" s="2339"/>
      <c r="J486" s="2340"/>
    </row>
    <row r="487" spans="1:10" s="2369" customFormat="1" ht="15" customHeight="1">
      <c r="A487" s="3115"/>
      <c r="B487" s="3116"/>
      <c r="C487" s="3118"/>
      <c r="D487" s="3118"/>
      <c r="E487" s="2338" t="s">
        <v>561</v>
      </c>
      <c r="F487" s="2339">
        <f t="shared" si="55"/>
        <v>850</v>
      </c>
      <c r="G487" s="2339">
        <v>850</v>
      </c>
      <c r="H487" s="2339"/>
      <c r="I487" s="2339"/>
      <c r="J487" s="2340"/>
    </row>
    <row r="488" spans="1:10" s="2369" customFormat="1" ht="15" customHeight="1">
      <c r="A488" s="3115"/>
      <c r="B488" s="3116"/>
      <c r="C488" s="3118"/>
      <c r="D488" s="3118"/>
      <c r="E488" s="2338" t="s">
        <v>562</v>
      </c>
      <c r="F488" s="2339">
        <f t="shared" si="55"/>
        <v>150</v>
      </c>
      <c r="G488" s="2339">
        <v>150</v>
      </c>
      <c r="H488" s="2339"/>
      <c r="I488" s="2339"/>
      <c r="J488" s="2340"/>
    </row>
    <row r="489" spans="1:10" s="2369" customFormat="1" ht="15" customHeight="1">
      <c r="A489" s="3115"/>
      <c r="B489" s="3116"/>
      <c r="C489" s="3118"/>
      <c r="D489" s="3118"/>
      <c r="E489" s="2338" t="s">
        <v>650</v>
      </c>
      <c r="F489" s="2339">
        <f t="shared" si="55"/>
        <v>5525</v>
      </c>
      <c r="G489" s="2339">
        <v>5525</v>
      </c>
      <c r="H489" s="2339"/>
      <c r="I489" s="2339"/>
      <c r="J489" s="2340"/>
    </row>
    <row r="490" spans="1:10" s="2369" customFormat="1" ht="15" customHeight="1">
      <c r="A490" s="3115"/>
      <c r="B490" s="3116"/>
      <c r="C490" s="3118"/>
      <c r="D490" s="3118"/>
      <c r="E490" s="2338" t="s">
        <v>651</v>
      </c>
      <c r="F490" s="2339">
        <f t="shared" si="55"/>
        <v>975</v>
      </c>
      <c r="G490" s="2339">
        <v>975</v>
      </c>
      <c r="H490" s="2339"/>
      <c r="I490" s="2339"/>
      <c r="J490" s="2340"/>
    </row>
    <row r="491" spans="1:10" s="2369" customFormat="1" ht="15" customHeight="1">
      <c r="A491" s="3115"/>
      <c r="B491" s="3116"/>
      <c r="C491" s="3118"/>
      <c r="D491" s="3118"/>
      <c r="E491" s="2341" t="s">
        <v>1130</v>
      </c>
      <c r="F491" s="2336">
        <f>SUM(F492:F493)</f>
        <v>0</v>
      </c>
      <c r="G491" s="2336">
        <f>SUM(G492:G493)</f>
        <v>0</v>
      </c>
      <c r="H491" s="2336">
        <f>SUM(H492:H493)</f>
        <v>0</v>
      </c>
      <c r="I491" s="2336">
        <f>SUM(I492:I493)</f>
        <v>0</v>
      </c>
      <c r="J491" s="2337">
        <f>SUM(J492:J493)</f>
        <v>0</v>
      </c>
    </row>
    <row r="492" spans="1:10" s="2333" customFormat="1" ht="15" hidden="1" customHeight="1">
      <c r="A492" s="2350"/>
      <c r="B492" s="2351"/>
      <c r="C492" s="2353"/>
      <c r="D492" s="2353"/>
      <c r="E492" s="2354"/>
      <c r="F492" s="2355">
        <f>SUM(G492:J492)</f>
        <v>0</v>
      </c>
      <c r="G492" s="2355"/>
      <c r="H492" s="2355"/>
      <c r="I492" s="2355"/>
      <c r="J492" s="2356"/>
    </row>
    <row r="493" spans="1:10" s="2333" customFormat="1" ht="15" hidden="1" customHeight="1">
      <c r="A493" s="2350"/>
      <c r="B493" s="2351"/>
      <c r="C493" s="2353"/>
      <c r="D493" s="2353"/>
      <c r="E493" s="2368"/>
      <c r="F493" s="2355">
        <f>SUM(G493:J493)</f>
        <v>0</v>
      </c>
      <c r="G493" s="2355"/>
      <c r="H493" s="2355"/>
      <c r="I493" s="2355"/>
      <c r="J493" s="2356"/>
    </row>
    <row r="494" spans="1:10" s="2369" customFormat="1" ht="22.5">
      <c r="A494" s="3130" t="s">
        <v>1182</v>
      </c>
      <c r="B494" s="3133" t="s">
        <v>1183</v>
      </c>
      <c r="C494" s="3139" t="s">
        <v>114</v>
      </c>
      <c r="D494" s="3139" t="s">
        <v>115</v>
      </c>
      <c r="E494" s="2330" t="s">
        <v>1129</v>
      </c>
      <c r="F494" s="2331">
        <f>SUM(F495,F514)</f>
        <v>243331</v>
      </c>
      <c r="G494" s="2331">
        <f>SUM(G495,G514)</f>
        <v>243331</v>
      </c>
      <c r="H494" s="2331">
        <f>SUM(H495,H514)</f>
        <v>0</v>
      </c>
      <c r="I494" s="2331">
        <f>SUM(I495,I514)</f>
        <v>0</v>
      </c>
      <c r="J494" s="2332">
        <f>SUM(J495,J514)</f>
        <v>0</v>
      </c>
    </row>
    <row r="495" spans="1:10" s="2369" customFormat="1" ht="21">
      <c r="A495" s="3131"/>
      <c r="B495" s="3134"/>
      <c r="C495" s="3140"/>
      <c r="D495" s="3140"/>
      <c r="E495" s="2335" t="s">
        <v>1135</v>
      </c>
      <c r="F495" s="2336">
        <f>SUM(F496,F505)</f>
        <v>243331</v>
      </c>
      <c r="G495" s="2336">
        <f>SUM(G496,G505)</f>
        <v>243331</v>
      </c>
      <c r="H495" s="2336">
        <f>SUM(H496,H505)</f>
        <v>0</v>
      </c>
      <c r="I495" s="2336">
        <f>SUM(I496,I505)</f>
        <v>0</v>
      </c>
      <c r="J495" s="2337">
        <f>SUM(J496,J505)</f>
        <v>0</v>
      </c>
    </row>
    <row r="496" spans="1:10" s="2369" customFormat="1" ht="22.5">
      <c r="A496" s="3131"/>
      <c r="B496" s="3134"/>
      <c r="C496" s="3140"/>
      <c r="D496" s="3140"/>
      <c r="E496" s="2347" t="s">
        <v>1136</v>
      </c>
      <c r="F496" s="2348">
        <f>SUM(F497:F504)</f>
        <v>22328</v>
      </c>
      <c r="G496" s="2348">
        <f>SUM(G497:G504)</f>
        <v>22328</v>
      </c>
      <c r="H496" s="2348">
        <f>SUM(H497:H504)</f>
        <v>0</v>
      </c>
      <c r="I496" s="2348">
        <f>SUM(I497:I504)</f>
        <v>0</v>
      </c>
      <c r="J496" s="2349">
        <f>SUM(J497:J504)</f>
        <v>0</v>
      </c>
    </row>
    <row r="497" spans="1:11" s="2369" customFormat="1" ht="15" customHeight="1">
      <c r="A497" s="3131"/>
      <c r="B497" s="3134"/>
      <c r="C497" s="3140"/>
      <c r="D497" s="3140"/>
      <c r="E497" s="2338" t="s">
        <v>540</v>
      </c>
      <c r="F497" s="2339">
        <f t="shared" ref="F497:F504" si="56">SUM(G497:J497)</f>
        <v>15845</v>
      </c>
      <c r="G497" s="2339">
        <v>15845</v>
      </c>
      <c r="H497" s="2339"/>
      <c r="I497" s="2339"/>
      <c r="J497" s="2340"/>
      <c r="K497" s="2370"/>
    </row>
    <row r="498" spans="1:11" s="2369" customFormat="1" ht="15" customHeight="1">
      <c r="A498" s="3131"/>
      <c r="B498" s="3134"/>
      <c r="C498" s="3140"/>
      <c r="D498" s="3140"/>
      <c r="E498" s="2338" t="s">
        <v>541</v>
      </c>
      <c r="F498" s="2339">
        <f t="shared" si="56"/>
        <v>2796</v>
      </c>
      <c r="G498" s="2339">
        <v>2796</v>
      </c>
      <c r="H498" s="2339"/>
      <c r="I498" s="2339"/>
      <c r="J498" s="2340"/>
      <c r="K498" s="2370"/>
    </row>
    <row r="499" spans="1:11" s="2369" customFormat="1" ht="15" customHeight="1">
      <c r="A499" s="3131"/>
      <c r="B499" s="3134"/>
      <c r="C499" s="3140"/>
      <c r="D499" s="3140"/>
      <c r="E499" s="2338" t="s">
        <v>544</v>
      </c>
      <c r="F499" s="2339">
        <f t="shared" si="56"/>
        <v>2747</v>
      </c>
      <c r="G499" s="2339">
        <v>2747</v>
      </c>
      <c r="H499" s="2339"/>
      <c r="I499" s="2339"/>
      <c r="J499" s="2340"/>
      <c r="K499" s="2371"/>
    </row>
    <row r="500" spans="1:11" s="2369" customFormat="1" ht="15" customHeight="1">
      <c r="A500" s="3131"/>
      <c r="B500" s="3134"/>
      <c r="C500" s="3140"/>
      <c r="D500" s="3140"/>
      <c r="E500" s="2338" t="s">
        <v>545</v>
      </c>
      <c r="F500" s="2339">
        <f t="shared" si="56"/>
        <v>484</v>
      </c>
      <c r="G500" s="2339">
        <v>484</v>
      </c>
      <c r="H500" s="2339"/>
      <c r="I500" s="2339"/>
      <c r="J500" s="2340"/>
    </row>
    <row r="501" spans="1:11" s="2369" customFormat="1" ht="15" customHeight="1">
      <c r="A501" s="3131"/>
      <c r="B501" s="3134"/>
      <c r="C501" s="3140"/>
      <c r="D501" s="3140"/>
      <c r="E501" s="2338" t="s">
        <v>546</v>
      </c>
      <c r="F501" s="2339">
        <f t="shared" si="56"/>
        <v>387</v>
      </c>
      <c r="G501" s="2339">
        <v>387</v>
      </c>
      <c r="H501" s="2339"/>
      <c r="I501" s="2339"/>
      <c r="J501" s="2340"/>
    </row>
    <row r="502" spans="1:11" s="2369" customFormat="1" ht="15" customHeight="1">
      <c r="A502" s="3131"/>
      <c r="B502" s="3134"/>
      <c r="C502" s="3140"/>
      <c r="D502" s="3140"/>
      <c r="E502" s="2338" t="s">
        <v>547</v>
      </c>
      <c r="F502" s="2339">
        <f t="shared" si="56"/>
        <v>69</v>
      </c>
      <c r="G502" s="2339">
        <v>69</v>
      </c>
      <c r="H502" s="2339"/>
      <c r="I502" s="2339"/>
      <c r="J502" s="2340"/>
    </row>
    <row r="503" spans="1:11" s="2369" customFormat="1" ht="15" hidden="1" customHeight="1">
      <c r="A503" s="3131"/>
      <c r="B503" s="3134"/>
      <c r="C503" s="3140"/>
      <c r="D503" s="3140"/>
      <c r="E503" s="2338" t="s">
        <v>548</v>
      </c>
      <c r="F503" s="2339">
        <f t="shared" si="56"/>
        <v>0</v>
      </c>
      <c r="G503" s="2339"/>
      <c r="H503" s="2339"/>
      <c r="I503" s="2339"/>
      <c r="J503" s="2340"/>
    </row>
    <row r="504" spans="1:11" s="2369" customFormat="1" ht="15" hidden="1" customHeight="1">
      <c r="A504" s="3131"/>
      <c r="B504" s="3134"/>
      <c r="C504" s="3140"/>
      <c r="D504" s="3140"/>
      <c r="E504" s="2338" t="s">
        <v>549</v>
      </c>
      <c r="F504" s="2339">
        <f t="shared" si="56"/>
        <v>0</v>
      </c>
      <c r="G504" s="2339"/>
      <c r="H504" s="2339"/>
      <c r="I504" s="2339"/>
      <c r="J504" s="2340"/>
    </row>
    <row r="505" spans="1:11" s="2369" customFormat="1" ht="22.5">
      <c r="A505" s="3131"/>
      <c r="B505" s="3134"/>
      <c r="C505" s="3140"/>
      <c r="D505" s="3140"/>
      <c r="E505" s="2347" t="s">
        <v>1137</v>
      </c>
      <c r="F505" s="2348">
        <f>SUM(F506:F513)</f>
        <v>221003</v>
      </c>
      <c r="G505" s="2348">
        <f>SUM(G506:G513)</f>
        <v>221003</v>
      </c>
      <c r="H505" s="2348">
        <f>SUM(H506:H513)</f>
        <v>0</v>
      </c>
      <c r="I505" s="2348">
        <f>SUM(I506:I513)</f>
        <v>0</v>
      </c>
      <c r="J505" s="2349">
        <f>SUM(J506:J513)</f>
        <v>0</v>
      </c>
      <c r="K505" s="2370"/>
    </row>
    <row r="506" spans="1:11" s="2369" customFormat="1" ht="15" customHeight="1">
      <c r="A506" s="3131"/>
      <c r="B506" s="3134"/>
      <c r="C506" s="3140"/>
      <c r="D506" s="3140"/>
      <c r="E506" s="2372" t="s">
        <v>557</v>
      </c>
      <c r="F506" s="2339">
        <f>SUM(G506:J506)</f>
        <v>126488</v>
      </c>
      <c r="G506" s="2339">
        <v>126488</v>
      </c>
      <c r="H506" s="2339"/>
      <c r="I506" s="2339"/>
      <c r="J506" s="2340"/>
      <c r="K506" s="2370"/>
    </row>
    <row r="507" spans="1:11" s="2369" customFormat="1" ht="15" customHeight="1">
      <c r="A507" s="3131"/>
      <c r="B507" s="3134"/>
      <c r="C507" s="3140"/>
      <c r="D507" s="3140"/>
      <c r="E507" s="2372" t="s">
        <v>558</v>
      </c>
      <c r="F507" s="2339">
        <f t="shared" ref="F507:F508" si="57">SUM(G507:J507)</f>
        <v>22321</v>
      </c>
      <c r="G507" s="2339">
        <v>22321</v>
      </c>
      <c r="H507" s="2339"/>
      <c r="I507" s="2339"/>
      <c r="J507" s="2340"/>
      <c r="K507" s="2370"/>
    </row>
    <row r="508" spans="1:11" s="2369" customFormat="1" ht="15" customHeight="1">
      <c r="A508" s="3131"/>
      <c r="B508" s="3134"/>
      <c r="C508" s="3140"/>
      <c r="D508" s="3140"/>
      <c r="E508" s="2338" t="s">
        <v>675</v>
      </c>
      <c r="F508" s="2339">
        <f t="shared" si="57"/>
        <v>43514</v>
      </c>
      <c r="G508" s="2339">
        <v>43514</v>
      </c>
      <c r="H508" s="2339"/>
      <c r="I508" s="2339"/>
      <c r="J508" s="2340"/>
      <c r="K508" s="2370"/>
    </row>
    <row r="509" spans="1:11" s="2369" customFormat="1" ht="15" customHeight="1">
      <c r="A509" s="3131"/>
      <c r="B509" s="3134"/>
      <c r="C509" s="3140"/>
      <c r="D509" s="3140"/>
      <c r="E509" s="2338" t="s">
        <v>648</v>
      </c>
      <c r="F509" s="2339">
        <f>SUM(G509:J509)</f>
        <v>7680</v>
      </c>
      <c r="G509" s="2339">
        <v>7680</v>
      </c>
      <c r="H509" s="2339"/>
      <c r="I509" s="2339"/>
      <c r="J509" s="2340"/>
      <c r="K509" s="2370"/>
    </row>
    <row r="510" spans="1:11" s="2369" customFormat="1" ht="15" customHeight="1">
      <c r="A510" s="3131"/>
      <c r="B510" s="3134"/>
      <c r="C510" s="3140"/>
      <c r="D510" s="3140"/>
      <c r="E510" s="2338" t="s">
        <v>561</v>
      </c>
      <c r="F510" s="2339">
        <f t="shared" ref="F510:F513" si="58">SUM(G510:J510)</f>
        <v>5100</v>
      </c>
      <c r="G510" s="2339">
        <v>5100</v>
      </c>
      <c r="H510" s="2339"/>
      <c r="I510" s="2339"/>
      <c r="J510" s="2340"/>
    </row>
    <row r="511" spans="1:11" s="2369" customFormat="1" ht="15" customHeight="1">
      <c r="A511" s="3131"/>
      <c r="B511" s="3134"/>
      <c r="C511" s="3140"/>
      <c r="D511" s="3140"/>
      <c r="E511" s="2338" t="s">
        <v>562</v>
      </c>
      <c r="F511" s="2339">
        <f t="shared" si="58"/>
        <v>900</v>
      </c>
      <c r="G511" s="2339">
        <v>900</v>
      </c>
      <c r="H511" s="2339"/>
      <c r="I511" s="2339"/>
      <c r="J511" s="2340"/>
    </row>
    <row r="512" spans="1:11" s="2369" customFormat="1" ht="15" customHeight="1">
      <c r="A512" s="3131"/>
      <c r="B512" s="3134"/>
      <c r="C512" s="3140"/>
      <c r="D512" s="3140"/>
      <c r="E512" s="2338" t="s">
        <v>650</v>
      </c>
      <c r="F512" s="2339">
        <f t="shared" si="58"/>
        <v>12750</v>
      </c>
      <c r="G512" s="2339">
        <v>12750</v>
      </c>
      <c r="H512" s="2339"/>
      <c r="I512" s="2339"/>
      <c r="J512" s="2340"/>
    </row>
    <row r="513" spans="1:11" s="2369" customFormat="1" ht="15" customHeight="1">
      <c r="A513" s="3131"/>
      <c r="B513" s="3134"/>
      <c r="C513" s="3140"/>
      <c r="D513" s="3140"/>
      <c r="E513" s="2338" t="s">
        <v>651</v>
      </c>
      <c r="F513" s="2339">
        <f t="shared" si="58"/>
        <v>2250</v>
      </c>
      <c r="G513" s="2339">
        <v>2250</v>
      </c>
      <c r="H513" s="2339"/>
      <c r="I513" s="2339"/>
      <c r="J513" s="2340"/>
    </row>
    <row r="514" spans="1:11" s="2369" customFormat="1" ht="15" customHeight="1">
      <c r="A514" s="3132"/>
      <c r="B514" s="3135"/>
      <c r="C514" s="3141"/>
      <c r="D514" s="3141"/>
      <c r="E514" s="2341" t="s">
        <v>1130</v>
      </c>
      <c r="F514" s="2336">
        <f>SUM(F515:F516)</f>
        <v>0</v>
      </c>
      <c r="G514" s="2336">
        <f>SUM(G515:G516)</f>
        <v>0</v>
      </c>
      <c r="H514" s="2336">
        <f>SUM(H515:H516)</f>
        <v>0</v>
      </c>
      <c r="I514" s="2336">
        <f>SUM(I515:I516)</f>
        <v>0</v>
      </c>
      <c r="J514" s="2337">
        <f>SUM(J515:J516)</f>
        <v>0</v>
      </c>
    </row>
    <row r="515" spans="1:11" s="2333" customFormat="1" ht="15" hidden="1" customHeight="1">
      <c r="A515" s="2350"/>
      <c r="B515" s="2351"/>
      <c r="C515" s="2353"/>
      <c r="D515" s="2353"/>
      <c r="E515" s="2354" t="s">
        <v>638</v>
      </c>
      <c r="F515" s="2355">
        <f>SUM(G515:J515)</f>
        <v>0</v>
      </c>
      <c r="G515" s="2355"/>
      <c r="H515" s="2355"/>
      <c r="I515" s="2355"/>
      <c r="J515" s="2356"/>
    </row>
    <row r="516" spans="1:11" s="2333" customFormat="1" ht="15" hidden="1" customHeight="1">
      <c r="A516" s="2350"/>
      <c r="B516" s="2351"/>
      <c r="C516" s="2353"/>
      <c r="D516" s="2353"/>
      <c r="E516" s="2368">
        <v>6069</v>
      </c>
      <c r="F516" s="2355">
        <f>SUM(G516:J516)</f>
        <v>0</v>
      </c>
      <c r="G516" s="2355"/>
      <c r="H516" s="2355"/>
      <c r="I516" s="2355"/>
      <c r="J516" s="2356"/>
    </row>
    <row r="517" spans="1:11" s="2333" customFormat="1" ht="22.5">
      <c r="A517" s="3130" t="s">
        <v>1184</v>
      </c>
      <c r="B517" s="3133" t="s">
        <v>1185</v>
      </c>
      <c r="C517" s="3139" t="s">
        <v>4</v>
      </c>
      <c r="D517" s="3139" t="s">
        <v>712</v>
      </c>
      <c r="E517" s="2330" t="s">
        <v>1129</v>
      </c>
      <c r="F517" s="2331">
        <f>SUM(F518,F538)</f>
        <v>247000</v>
      </c>
      <c r="G517" s="2331">
        <f>SUM(G518,G538)</f>
        <v>247000</v>
      </c>
      <c r="H517" s="2331">
        <f>SUM(H518,H538)</f>
        <v>0</v>
      </c>
      <c r="I517" s="2331">
        <f>SUM(I518,I538)</f>
        <v>0</v>
      </c>
      <c r="J517" s="2332">
        <f>SUM(J518,J538)</f>
        <v>0</v>
      </c>
      <c r="K517" s="2369"/>
    </row>
    <row r="518" spans="1:11" s="2333" customFormat="1" ht="21">
      <c r="A518" s="3131"/>
      <c r="B518" s="3134"/>
      <c r="C518" s="3140"/>
      <c r="D518" s="3140"/>
      <c r="E518" s="2335" t="s">
        <v>1135</v>
      </c>
      <c r="F518" s="2336">
        <f>SUM(F519,F526)</f>
        <v>247000</v>
      </c>
      <c r="G518" s="2336">
        <f>SUM(G519,G526)</f>
        <v>247000</v>
      </c>
      <c r="H518" s="2336">
        <f>SUM(H519,H526)</f>
        <v>0</v>
      </c>
      <c r="I518" s="2336">
        <f>SUM(I519,I526)</f>
        <v>0</v>
      </c>
      <c r="J518" s="2337">
        <f>SUM(J519,J526)</f>
        <v>0</v>
      </c>
      <c r="K518" s="2369"/>
    </row>
    <row r="519" spans="1:11" s="2333" customFormat="1" ht="22.5">
      <c r="A519" s="3131"/>
      <c r="B519" s="3134"/>
      <c r="C519" s="3140"/>
      <c r="D519" s="3140"/>
      <c r="E519" s="2347" t="s">
        <v>1136</v>
      </c>
      <c r="F519" s="2348">
        <f>SUM(F520:F525)</f>
        <v>65000</v>
      </c>
      <c r="G519" s="2348">
        <f>SUM(G520:G525)</f>
        <v>65000</v>
      </c>
      <c r="H519" s="2348">
        <f>SUM(H520:H525)</f>
        <v>0</v>
      </c>
      <c r="I519" s="2348">
        <f>SUM(I520:I525)</f>
        <v>0</v>
      </c>
      <c r="J519" s="2349">
        <f>SUM(J520:J525)</f>
        <v>0</v>
      </c>
      <c r="K519" s="2369"/>
    </row>
    <row r="520" spans="1:11" s="2333" customFormat="1" ht="15" customHeight="1">
      <c r="A520" s="3131"/>
      <c r="B520" s="3134"/>
      <c r="C520" s="3140"/>
      <c r="D520" s="3140"/>
      <c r="E520" s="2338" t="s">
        <v>540</v>
      </c>
      <c r="F520" s="2339">
        <f t="shared" ref="F520:F525" si="59">SUM(G520:J520)</f>
        <v>46107</v>
      </c>
      <c r="G520" s="2339">
        <v>46107</v>
      </c>
      <c r="H520" s="2339"/>
      <c r="I520" s="2339"/>
      <c r="J520" s="2340"/>
      <c r="K520" s="2370"/>
    </row>
    <row r="521" spans="1:11" s="2333" customFormat="1" ht="15" customHeight="1">
      <c r="A521" s="3131"/>
      <c r="B521" s="3134"/>
      <c r="C521" s="3140"/>
      <c r="D521" s="3140"/>
      <c r="E521" s="2338" t="s">
        <v>541</v>
      </c>
      <c r="F521" s="2339">
        <f t="shared" si="59"/>
        <v>8136</v>
      </c>
      <c r="G521" s="2339">
        <v>8136</v>
      </c>
      <c r="H521" s="2339"/>
      <c r="I521" s="2339"/>
      <c r="J521" s="2340"/>
      <c r="K521" s="2370"/>
    </row>
    <row r="522" spans="1:11" s="2333" customFormat="1" ht="15" customHeight="1">
      <c r="A522" s="3131"/>
      <c r="B522" s="3134"/>
      <c r="C522" s="3140"/>
      <c r="D522" s="3140"/>
      <c r="E522" s="2338" t="s">
        <v>544</v>
      </c>
      <c r="F522" s="2339">
        <f t="shared" si="59"/>
        <v>8011</v>
      </c>
      <c r="G522" s="2339">
        <v>8011</v>
      </c>
      <c r="H522" s="2339"/>
      <c r="I522" s="2339"/>
      <c r="J522" s="2340"/>
      <c r="K522" s="2371"/>
    </row>
    <row r="523" spans="1:11" s="2333" customFormat="1" ht="15" customHeight="1">
      <c r="A523" s="3131"/>
      <c r="B523" s="3134"/>
      <c r="C523" s="3140"/>
      <c r="D523" s="3140"/>
      <c r="E523" s="2338" t="s">
        <v>545</v>
      </c>
      <c r="F523" s="2339">
        <f t="shared" si="59"/>
        <v>1414</v>
      </c>
      <c r="G523" s="2339">
        <v>1414</v>
      </c>
      <c r="H523" s="2339"/>
      <c r="I523" s="2339"/>
      <c r="J523" s="2340"/>
      <c r="K523" s="2369"/>
    </row>
    <row r="524" spans="1:11" s="2333" customFormat="1" ht="15" customHeight="1">
      <c r="A524" s="3131"/>
      <c r="B524" s="3134"/>
      <c r="C524" s="3140"/>
      <c r="D524" s="3140"/>
      <c r="E524" s="2338" t="s">
        <v>546</v>
      </c>
      <c r="F524" s="2339">
        <f t="shared" si="59"/>
        <v>1132</v>
      </c>
      <c r="G524" s="2339">
        <v>1132</v>
      </c>
      <c r="H524" s="2339"/>
      <c r="I524" s="2339"/>
      <c r="J524" s="2340"/>
      <c r="K524" s="2369"/>
    </row>
    <row r="525" spans="1:11" s="2333" customFormat="1" ht="15" customHeight="1">
      <c r="A525" s="3131"/>
      <c r="B525" s="3134"/>
      <c r="C525" s="3140"/>
      <c r="D525" s="3140"/>
      <c r="E525" s="2338" t="s">
        <v>547</v>
      </c>
      <c r="F525" s="2339">
        <f t="shared" si="59"/>
        <v>200</v>
      </c>
      <c r="G525" s="2339">
        <v>200</v>
      </c>
      <c r="H525" s="2339"/>
      <c r="I525" s="2339"/>
      <c r="J525" s="2340"/>
      <c r="K525" s="2369"/>
    </row>
    <row r="526" spans="1:11" s="2333" customFormat="1" ht="22.5">
      <c r="A526" s="3131"/>
      <c r="B526" s="3134"/>
      <c r="C526" s="3140"/>
      <c r="D526" s="3140"/>
      <c r="E526" s="2347" t="s">
        <v>1137</v>
      </c>
      <c r="F526" s="2348">
        <f>SUM(F527:F537)</f>
        <v>182000</v>
      </c>
      <c r="G526" s="2348">
        <f>SUM(G527:G537)</f>
        <v>182000</v>
      </c>
      <c r="H526" s="2348">
        <f>SUM(H527:H537)</f>
        <v>0</v>
      </c>
      <c r="I526" s="2348">
        <f>SUM(I527:I537)</f>
        <v>0</v>
      </c>
      <c r="J526" s="2349">
        <f>SUM(J527:J537)</f>
        <v>0</v>
      </c>
      <c r="K526" s="2369"/>
    </row>
    <row r="527" spans="1:11" s="2333" customFormat="1" ht="14.1" customHeight="1">
      <c r="A527" s="3131"/>
      <c r="B527" s="3134"/>
      <c r="C527" s="3140"/>
      <c r="D527" s="3140"/>
      <c r="E527" s="2338" t="s">
        <v>553</v>
      </c>
      <c r="F527" s="2339">
        <f t="shared" ref="F527:F537" si="60">SUM(G527:J527)</f>
        <v>52700</v>
      </c>
      <c r="G527" s="2339">
        <v>52700</v>
      </c>
      <c r="H527" s="2339"/>
      <c r="I527" s="2339"/>
      <c r="J527" s="2340"/>
      <c r="K527" s="2369"/>
    </row>
    <row r="528" spans="1:11" s="2333" customFormat="1" ht="14.1" customHeight="1">
      <c r="A528" s="3131"/>
      <c r="B528" s="3134"/>
      <c r="C528" s="3140"/>
      <c r="D528" s="3140"/>
      <c r="E528" s="2338" t="s">
        <v>554</v>
      </c>
      <c r="F528" s="2339">
        <f t="shared" si="60"/>
        <v>9300</v>
      </c>
      <c r="G528" s="2339">
        <v>9300</v>
      </c>
      <c r="H528" s="2339"/>
      <c r="I528" s="2339"/>
      <c r="J528" s="2340"/>
      <c r="K528" s="2369"/>
    </row>
    <row r="529" spans="1:11" s="2333" customFormat="1" ht="14.1" customHeight="1">
      <c r="A529" s="3131"/>
      <c r="B529" s="3134"/>
      <c r="C529" s="3140"/>
      <c r="D529" s="3140"/>
      <c r="E529" s="2338" t="s">
        <v>557</v>
      </c>
      <c r="F529" s="2339">
        <f t="shared" si="60"/>
        <v>95200</v>
      </c>
      <c r="G529" s="2339">
        <v>95200</v>
      </c>
      <c r="H529" s="2339"/>
      <c r="I529" s="2339"/>
      <c r="J529" s="2340"/>
      <c r="K529" s="2369"/>
    </row>
    <row r="530" spans="1:11" s="2333" customFormat="1" ht="14.1" customHeight="1">
      <c r="A530" s="3131"/>
      <c r="B530" s="3134"/>
      <c r="C530" s="3140"/>
      <c r="D530" s="3140"/>
      <c r="E530" s="2338" t="s">
        <v>558</v>
      </c>
      <c r="F530" s="2339">
        <f t="shared" si="60"/>
        <v>16800</v>
      </c>
      <c r="G530" s="2339">
        <v>16800</v>
      </c>
      <c r="H530" s="2339"/>
      <c r="I530" s="2339"/>
      <c r="J530" s="2340"/>
      <c r="K530" s="2369"/>
    </row>
    <row r="531" spans="1:11" s="2333" customFormat="1" ht="14.1" customHeight="1">
      <c r="A531" s="3131"/>
      <c r="B531" s="3134"/>
      <c r="C531" s="3140"/>
      <c r="D531" s="3140"/>
      <c r="E531" s="2338" t="s">
        <v>675</v>
      </c>
      <c r="F531" s="2339">
        <f t="shared" si="60"/>
        <v>850</v>
      </c>
      <c r="G531" s="2339">
        <v>850</v>
      </c>
      <c r="H531" s="2339"/>
      <c r="I531" s="2339"/>
      <c r="J531" s="2340"/>
      <c r="K531" s="2369"/>
    </row>
    <row r="532" spans="1:11" s="2333" customFormat="1" ht="14.1" customHeight="1">
      <c r="A532" s="3131"/>
      <c r="B532" s="3134"/>
      <c r="C532" s="3140"/>
      <c r="D532" s="3140"/>
      <c r="E532" s="2338" t="s">
        <v>648</v>
      </c>
      <c r="F532" s="2339">
        <f t="shared" si="60"/>
        <v>150</v>
      </c>
      <c r="G532" s="2339">
        <v>150</v>
      </c>
      <c r="H532" s="2339"/>
      <c r="I532" s="2339"/>
      <c r="J532" s="2340"/>
      <c r="K532" s="2369"/>
    </row>
    <row r="533" spans="1:11" s="2333" customFormat="1" ht="14.1" customHeight="1">
      <c r="A533" s="3131"/>
      <c r="B533" s="3134"/>
      <c r="C533" s="3140"/>
      <c r="D533" s="3140"/>
      <c r="E533" s="2338" t="s">
        <v>561</v>
      </c>
      <c r="F533" s="2339">
        <f t="shared" si="60"/>
        <v>3400</v>
      </c>
      <c r="G533" s="2339">
        <v>3400</v>
      </c>
      <c r="H533" s="2339"/>
      <c r="I533" s="2339"/>
      <c r="J533" s="2340"/>
      <c r="K533" s="2369"/>
    </row>
    <row r="534" spans="1:11" s="2333" customFormat="1" ht="14.1" customHeight="1">
      <c r="A534" s="3131"/>
      <c r="B534" s="3134"/>
      <c r="C534" s="3140"/>
      <c r="D534" s="3140"/>
      <c r="E534" s="2338" t="s">
        <v>562</v>
      </c>
      <c r="F534" s="2339">
        <f t="shared" si="60"/>
        <v>600</v>
      </c>
      <c r="G534" s="2339">
        <v>600</v>
      </c>
      <c r="H534" s="2339"/>
      <c r="I534" s="2339"/>
      <c r="J534" s="2340"/>
      <c r="K534" s="2369"/>
    </row>
    <row r="535" spans="1:11" s="2333" customFormat="1" ht="14.1" customHeight="1">
      <c r="A535" s="3131"/>
      <c r="B535" s="3134"/>
      <c r="C535" s="3140"/>
      <c r="D535" s="3140"/>
      <c r="E535" s="2338" t="s">
        <v>650</v>
      </c>
      <c r="F535" s="2339">
        <f t="shared" si="60"/>
        <v>2550</v>
      </c>
      <c r="G535" s="2339">
        <v>2550</v>
      </c>
      <c r="H535" s="2339"/>
      <c r="I535" s="2339"/>
      <c r="J535" s="2340"/>
      <c r="K535" s="2369"/>
    </row>
    <row r="536" spans="1:11" s="2333" customFormat="1" ht="14.1" customHeight="1">
      <c r="A536" s="3131"/>
      <c r="B536" s="3134"/>
      <c r="C536" s="3140"/>
      <c r="D536" s="3140"/>
      <c r="E536" s="2338" t="s">
        <v>651</v>
      </c>
      <c r="F536" s="2339">
        <f t="shared" si="60"/>
        <v>450</v>
      </c>
      <c r="G536" s="2339">
        <v>450</v>
      </c>
      <c r="H536" s="2339"/>
      <c r="I536" s="2339"/>
      <c r="J536" s="2340"/>
      <c r="K536" s="2369"/>
    </row>
    <row r="537" spans="1:11" s="2333" customFormat="1" ht="14.1" hidden="1" customHeight="1">
      <c r="A537" s="3131"/>
      <c r="B537" s="3134"/>
      <c r="C537" s="3140"/>
      <c r="D537" s="3140"/>
      <c r="E537" s="2338" t="s">
        <v>589</v>
      </c>
      <c r="F537" s="2339">
        <f t="shared" si="60"/>
        <v>0</v>
      </c>
      <c r="G537" s="2339"/>
      <c r="H537" s="2339"/>
      <c r="I537" s="2339"/>
      <c r="J537" s="2340"/>
      <c r="K537" s="2369"/>
    </row>
    <row r="538" spans="1:11" s="2333" customFormat="1" ht="12">
      <c r="A538" s="3131"/>
      <c r="B538" s="3134"/>
      <c r="C538" s="3140"/>
      <c r="D538" s="3140"/>
      <c r="E538" s="2341" t="s">
        <v>1130</v>
      </c>
      <c r="F538" s="2336">
        <f>SUM(F539:F539)</f>
        <v>0</v>
      </c>
      <c r="G538" s="2336">
        <f>SUM(G539:G539)</f>
        <v>0</v>
      </c>
      <c r="H538" s="2336">
        <f>SUM(H539:H539)</f>
        <v>0</v>
      </c>
      <c r="I538" s="2336">
        <f>SUM(I539:I539)</f>
        <v>0</v>
      </c>
      <c r="J538" s="2337">
        <f>SUM(J539:J539)</f>
        <v>0</v>
      </c>
      <c r="K538" s="2369"/>
    </row>
    <row r="539" spans="1:11" s="2333" customFormat="1" ht="15" hidden="1" customHeight="1">
      <c r="A539" s="2350"/>
      <c r="B539" s="2351"/>
      <c r="C539" s="2353"/>
      <c r="D539" s="2353"/>
      <c r="E539" s="2368"/>
      <c r="F539" s="2355">
        <f>SUM(G539:J539)</f>
        <v>0</v>
      </c>
      <c r="G539" s="2355"/>
      <c r="H539" s="2355"/>
      <c r="I539" s="2355"/>
      <c r="J539" s="2356"/>
    </row>
    <row r="540" spans="1:11" s="2333" customFormat="1" ht="22.5" customHeight="1">
      <c r="A540" s="3130" t="s">
        <v>1186</v>
      </c>
      <c r="B540" s="3133" t="s">
        <v>1187</v>
      </c>
      <c r="C540" s="3139" t="s">
        <v>4</v>
      </c>
      <c r="D540" s="3139" t="s">
        <v>712</v>
      </c>
      <c r="E540" s="2330" t="s">
        <v>1129</v>
      </c>
      <c r="F540" s="2331">
        <f>SUM(F541,F557)</f>
        <v>779784</v>
      </c>
      <c r="G540" s="2331">
        <f>SUM(G541,G557)</f>
        <v>0</v>
      </c>
      <c r="H540" s="2331">
        <f>SUM(H541,H557)</f>
        <v>779784</v>
      </c>
      <c r="I540" s="2331">
        <f>SUM(I541,I557)</f>
        <v>0</v>
      </c>
      <c r="J540" s="2332">
        <f>SUM(J541,J557)</f>
        <v>0</v>
      </c>
    </row>
    <row r="541" spans="1:11" s="2333" customFormat="1" ht="21">
      <c r="A541" s="3131"/>
      <c r="B541" s="3134"/>
      <c r="C541" s="3140"/>
      <c r="D541" s="3140"/>
      <c r="E541" s="2335" t="s">
        <v>1135</v>
      </c>
      <c r="F541" s="2336">
        <f>SUM(F542,F548)</f>
        <v>779784</v>
      </c>
      <c r="G541" s="2336">
        <f>SUM(G542,G548)</f>
        <v>0</v>
      </c>
      <c r="H541" s="2336">
        <f>SUM(H542,H548)</f>
        <v>779784</v>
      </c>
      <c r="I541" s="2336">
        <f>SUM(I542,I548)</f>
        <v>0</v>
      </c>
      <c r="J541" s="2337">
        <f>SUM(J542,J548)</f>
        <v>0</v>
      </c>
    </row>
    <row r="542" spans="1:11" s="2333" customFormat="1" ht="22.5">
      <c r="A542" s="3131"/>
      <c r="B542" s="3134"/>
      <c r="C542" s="3140"/>
      <c r="D542" s="3140"/>
      <c r="E542" s="2347" t="s">
        <v>1136</v>
      </c>
      <c r="F542" s="2348">
        <f>SUM(F543:F547)</f>
        <v>328685</v>
      </c>
      <c r="G542" s="2348">
        <f>SUM(G543:G547)</f>
        <v>0</v>
      </c>
      <c r="H542" s="2348">
        <f>SUM(H543:H547)</f>
        <v>328685</v>
      </c>
      <c r="I542" s="2348">
        <f>SUM(I543:I547)</f>
        <v>0</v>
      </c>
      <c r="J542" s="2349">
        <f>SUM(J543:J547)</f>
        <v>0</v>
      </c>
    </row>
    <row r="543" spans="1:11" s="2333" customFormat="1" ht="14.1" customHeight="1">
      <c r="A543" s="3131"/>
      <c r="B543" s="3134"/>
      <c r="C543" s="3140"/>
      <c r="D543" s="3140"/>
      <c r="E543" s="2338" t="s">
        <v>540</v>
      </c>
      <c r="F543" s="2339">
        <f t="shared" ref="F543:F547" si="61">SUM(G543:J543)</f>
        <v>253326</v>
      </c>
      <c r="G543" s="2339"/>
      <c r="H543" s="2339">
        <v>253326</v>
      </c>
      <c r="I543" s="2339"/>
      <c r="J543" s="2340"/>
      <c r="K543" s="2334"/>
    </row>
    <row r="544" spans="1:11" s="2333" customFormat="1" ht="14.1" customHeight="1">
      <c r="A544" s="3131"/>
      <c r="B544" s="3134"/>
      <c r="C544" s="3140"/>
      <c r="D544" s="3140"/>
      <c r="E544" s="2338" t="s">
        <v>542</v>
      </c>
      <c r="F544" s="2339">
        <f t="shared" si="61"/>
        <v>21630</v>
      </c>
      <c r="G544" s="2339"/>
      <c r="H544" s="2339">
        <v>21630</v>
      </c>
      <c r="I544" s="2339"/>
      <c r="J544" s="2340"/>
    </row>
    <row r="545" spans="1:11" s="2333" customFormat="1" ht="14.1" customHeight="1">
      <c r="A545" s="3131"/>
      <c r="B545" s="3134"/>
      <c r="C545" s="3140"/>
      <c r="D545" s="3140"/>
      <c r="E545" s="2338" t="s">
        <v>544</v>
      </c>
      <c r="F545" s="2339">
        <f t="shared" si="61"/>
        <v>46955</v>
      </c>
      <c r="G545" s="2339"/>
      <c r="H545" s="2339">
        <v>46955</v>
      </c>
      <c r="I545" s="2339"/>
      <c r="J545" s="2340"/>
    </row>
    <row r="546" spans="1:11" s="2333" customFormat="1" ht="14.1" customHeight="1">
      <c r="A546" s="3131"/>
      <c r="B546" s="3134"/>
      <c r="C546" s="3140"/>
      <c r="D546" s="3140"/>
      <c r="E546" s="2338" t="s">
        <v>546</v>
      </c>
      <c r="F546" s="2339">
        <f t="shared" si="61"/>
        <v>4714</v>
      </c>
      <c r="G546" s="2339"/>
      <c r="H546" s="2339">
        <v>4714</v>
      </c>
      <c r="I546" s="2339"/>
      <c r="J546" s="2340"/>
    </row>
    <row r="547" spans="1:11" s="2333" customFormat="1" ht="14.1" customHeight="1">
      <c r="A547" s="3131"/>
      <c r="B547" s="3134"/>
      <c r="C547" s="3140"/>
      <c r="D547" s="3140"/>
      <c r="E547" s="2338" t="s">
        <v>548</v>
      </c>
      <c r="F547" s="2339">
        <f t="shared" si="61"/>
        <v>2060</v>
      </c>
      <c r="G547" s="2339"/>
      <c r="H547" s="2339">
        <v>2060</v>
      </c>
      <c r="I547" s="2339"/>
      <c r="J547" s="2340"/>
    </row>
    <row r="548" spans="1:11" s="2333" customFormat="1" ht="22.5">
      <c r="A548" s="3131"/>
      <c r="B548" s="3134"/>
      <c r="C548" s="3140"/>
      <c r="D548" s="3140"/>
      <c r="E548" s="2347" t="s">
        <v>1137</v>
      </c>
      <c r="F548" s="2348">
        <f>SUM(F549:F556)</f>
        <v>451099</v>
      </c>
      <c r="G548" s="2348">
        <f>SUM(G549:G556)</f>
        <v>0</v>
      </c>
      <c r="H548" s="2348">
        <f>SUM(H549:H556)</f>
        <v>451099</v>
      </c>
      <c r="I548" s="2348">
        <f>SUM(I549:I556)</f>
        <v>0</v>
      </c>
      <c r="J548" s="2349">
        <f>SUM(J549:J556)</f>
        <v>0</v>
      </c>
    </row>
    <row r="549" spans="1:11" s="2333" customFormat="1" ht="14.1" customHeight="1">
      <c r="A549" s="3131"/>
      <c r="B549" s="3134"/>
      <c r="C549" s="3140"/>
      <c r="D549" s="3140"/>
      <c r="E549" s="2338" t="s">
        <v>553</v>
      </c>
      <c r="F549" s="2339">
        <f t="shared" ref="F549:F556" si="62">SUM(G549:J549)</f>
        <v>52099</v>
      </c>
      <c r="G549" s="2339"/>
      <c r="H549" s="2339">
        <v>52099</v>
      </c>
      <c r="I549" s="2339"/>
      <c r="J549" s="2340"/>
    </row>
    <row r="550" spans="1:11" s="2333" customFormat="1" ht="14.1" customHeight="1">
      <c r="A550" s="3131"/>
      <c r="B550" s="3134"/>
      <c r="C550" s="3140"/>
      <c r="D550" s="3140"/>
      <c r="E550" s="2338" t="s">
        <v>717</v>
      </c>
      <c r="F550" s="2339">
        <f t="shared" si="62"/>
        <v>3000</v>
      </c>
      <c r="G550" s="2339"/>
      <c r="H550" s="2339">
        <v>3000</v>
      </c>
      <c r="I550" s="2339"/>
      <c r="J550" s="2340"/>
    </row>
    <row r="551" spans="1:11" s="2333" customFormat="1" ht="14.1" customHeight="1">
      <c r="A551" s="3131"/>
      <c r="B551" s="3134"/>
      <c r="C551" s="3140"/>
      <c r="D551" s="3140"/>
      <c r="E551" s="2338" t="s">
        <v>555</v>
      </c>
      <c r="F551" s="2339">
        <f t="shared" si="62"/>
        <v>2000</v>
      </c>
      <c r="G551" s="2339"/>
      <c r="H551" s="2339">
        <v>2000</v>
      </c>
      <c r="I551" s="2339"/>
      <c r="J551" s="2340"/>
    </row>
    <row r="552" spans="1:11" s="2333" customFormat="1" ht="14.1" customHeight="1">
      <c r="A552" s="3131"/>
      <c r="B552" s="3134"/>
      <c r="C552" s="3140"/>
      <c r="D552" s="3140"/>
      <c r="E552" s="2338" t="s">
        <v>557</v>
      </c>
      <c r="F552" s="2339">
        <f t="shared" si="62"/>
        <v>360000</v>
      </c>
      <c r="G552" s="2339"/>
      <c r="H552" s="2339">
        <v>360000</v>
      </c>
      <c r="I552" s="2339"/>
      <c r="J552" s="2340"/>
    </row>
    <row r="553" spans="1:11" s="2333" customFormat="1" ht="14.1" customHeight="1">
      <c r="A553" s="3131"/>
      <c r="B553" s="3134"/>
      <c r="C553" s="3140"/>
      <c r="D553" s="3140"/>
      <c r="E553" s="2338" t="s">
        <v>675</v>
      </c>
      <c r="F553" s="2339">
        <f t="shared" si="62"/>
        <v>5000</v>
      </c>
      <c r="G553" s="2339"/>
      <c r="H553" s="2339">
        <v>5000</v>
      </c>
      <c r="I553" s="2339"/>
      <c r="J553" s="2340"/>
    </row>
    <row r="554" spans="1:11" s="2333" customFormat="1" ht="14.1" customHeight="1">
      <c r="A554" s="3131"/>
      <c r="B554" s="3134"/>
      <c r="C554" s="3140"/>
      <c r="D554" s="3140"/>
      <c r="E554" s="2338" t="s">
        <v>561</v>
      </c>
      <c r="F554" s="2339">
        <f t="shared" si="62"/>
        <v>8000</v>
      </c>
      <c r="G554" s="2339"/>
      <c r="H554" s="2339">
        <v>8000</v>
      </c>
      <c r="I554" s="2339"/>
      <c r="J554" s="2340"/>
    </row>
    <row r="555" spans="1:11" s="2333" customFormat="1" ht="14.1" customHeight="1">
      <c r="A555" s="3131"/>
      <c r="B555" s="3134"/>
      <c r="C555" s="3140"/>
      <c r="D555" s="3140"/>
      <c r="E555" s="2338" t="s">
        <v>650</v>
      </c>
      <c r="F555" s="2339">
        <f t="shared" si="62"/>
        <v>12000</v>
      </c>
      <c r="G555" s="2339"/>
      <c r="H555" s="2339">
        <v>12000</v>
      </c>
      <c r="I555" s="2339"/>
      <c r="J555" s="2340"/>
    </row>
    <row r="556" spans="1:11" s="2333" customFormat="1" ht="14.1" customHeight="1">
      <c r="A556" s="3131"/>
      <c r="B556" s="3134"/>
      <c r="C556" s="3140"/>
      <c r="D556" s="3140"/>
      <c r="E556" s="2338" t="s">
        <v>565</v>
      </c>
      <c r="F556" s="2339">
        <f t="shared" si="62"/>
        <v>9000</v>
      </c>
      <c r="G556" s="2339"/>
      <c r="H556" s="2339">
        <v>9000</v>
      </c>
      <c r="I556" s="2339"/>
      <c r="J556" s="2340"/>
    </row>
    <row r="557" spans="1:11" s="2333" customFormat="1" ht="12">
      <c r="A557" s="3132"/>
      <c r="B557" s="3135"/>
      <c r="C557" s="3141"/>
      <c r="D557" s="3141"/>
      <c r="E557" s="2341" t="s">
        <v>1130</v>
      </c>
      <c r="F557" s="2336">
        <f>SUM(F558:F559)</f>
        <v>0</v>
      </c>
      <c r="G557" s="2336">
        <f>SUM(G558:G559)</f>
        <v>0</v>
      </c>
      <c r="H557" s="2336">
        <f>SUM(H558:H559)</f>
        <v>0</v>
      </c>
      <c r="I557" s="2336">
        <f>SUM(I558:I559)</f>
        <v>0</v>
      </c>
      <c r="J557" s="2337">
        <f>SUM(J558:J559)</f>
        <v>0</v>
      </c>
    </row>
    <row r="558" spans="1:11" s="2333" customFormat="1" ht="15" hidden="1" customHeight="1">
      <c r="A558" s="2345"/>
      <c r="B558" s="2346"/>
      <c r="C558" s="2373"/>
      <c r="D558" s="2373"/>
      <c r="E558" s="2338" t="s">
        <v>637</v>
      </c>
      <c r="F558" s="2339">
        <f>SUM(G558:J558)</f>
        <v>0</v>
      </c>
      <c r="G558" s="2339"/>
      <c r="H558" s="2339"/>
      <c r="I558" s="2339"/>
      <c r="J558" s="2340"/>
    </row>
    <row r="559" spans="1:11" s="2333" customFormat="1" ht="12" hidden="1" customHeight="1">
      <c r="A559" s="2345"/>
      <c r="B559" s="2346"/>
      <c r="C559" s="2373"/>
      <c r="D559" s="2373"/>
      <c r="E559" s="2344">
        <v>6068</v>
      </c>
      <c r="F559" s="2339">
        <f>SUM(G559:J559)</f>
        <v>0</v>
      </c>
      <c r="G559" s="2339"/>
      <c r="H559" s="2339"/>
      <c r="I559" s="2339"/>
      <c r="J559" s="2340"/>
    </row>
    <row r="560" spans="1:11" s="2333" customFormat="1" ht="22.5">
      <c r="A560" s="3130" t="s">
        <v>1188</v>
      </c>
      <c r="B560" s="3133" t="s">
        <v>1189</v>
      </c>
      <c r="C560" s="3139" t="s">
        <v>4</v>
      </c>
      <c r="D560" s="3139" t="s">
        <v>3</v>
      </c>
      <c r="E560" s="2330" t="s">
        <v>1129</v>
      </c>
      <c r="F560" s="2331">
        <f>SUM(F561,F578)</f>
        <v>246779</v>
      </c>
      <c r="G560" s="2331">
        <f>SUM(G561,G578)</f>
        <v>246779</v>
      </c>
      <c r="H560" s="2331">
        <f>SUM(H561,H578)</f>
        <v>0</v>
      </c>
      <c r="I560" s="2331">
        <f>SUM(I561,I578)</f>
        <v>0</v>
      </c>
      <c r="J560" s="2332">
        <f>SUM(J561,J578)</f>
        <v>0</v>
      </c>
      <c r="K560" s="2369"/>
    </row>
    <row r="561" spans="1:11" s="2333" customFormat="1" ht="21">
      <c r="A561" s="3131"/>
      <c r="B561" s="3134"/>
      <c r="C561" s="3140"/>
      <c r="D561" s="3140"/>
      <c r="E561" s="2335" t="s">
        <v>1135</v>
      </c>
      <c r="F561" s="2336">
        <f>SUM(F562,F569)</f>
        <v>246779</v>
      </c>
      <c r="G561" s="2336">
        <f>SUM(G562,G569)</f>
        <v>246779</v>
      </c>
      <c r="H561" s="2336">
        <f>SUM(H562,H569)</f>
        <v>0</v>
      </c>
      <c r="I561" s="2336">
        <f>SUM(I562,I569)</f>
        <v>0</v>
      </c>
      <c r="J561" s="2337">
        <f>SUM(J562,J569)</f>
        <v>0</v>
      </c>
      <c r="K561" s="2369"/>
    </row>
    <row r="562" spans="1:11" s="2333" customFormat="1" ht="22.5">
      <c r="A562" s="3131"/>
      <c r="B562" s="3134"/>
      <c r="C562" s="3140"/>
      <c r="D562" s="3140"/>
      <c r="E562" s="2347" t="s">
        <v>1136</v>
      </c>
      <c r="F562" s="2348">
        <f>SUM(F563:F568)</f>
        <v>16610</v>
      </c>
      <c r="G562" s="2348">
        <f>SUM(G563:G568)</f>
        <v>16610</v>
      </c>
      <c r="H562" s="2348">
        <f>SUM(H563:H568)</f>
        <v>0</v>
      </c>
      <c r="I562" s="2348">
        <f>SUM(I563:I568)</f>
        <v>0</v>
      </c>
      <c r="J562" s="2349">
        <f>SUM(J563:J568)</f>
        <v>0</v>
      </c>
      <c r="K562" s="2369"/>
    </row>
    <row r="563" spans="1:11" s="2333" customFormat="1" ht="15" customHeight="1">
      <c r="A563" s="3131"/>
      <c r="B563" s="3134"/>
      <c r="C563" s="3140"/>
      <c r="D563" s="3140"/>
      <c r="E563" s="2338" t="s">
        <v>540</v>
      </c>
      <c r="F563" s="2339">
        <f t="shared" ref="F563:F568" si="63">SUM(G563:J563)</f>
        <v>12477</v>
      </c>
      <c r="G563" s="2339">
        <v>12477</v>
      </c>
      <c r="H563" s="2339"/>
      <c r="I563" s="2339"/>
      <c r="J563" s="2340"/>
      <c r="K563" s="2370"/>
    </row>
    <row r="564" spans="1:11" s="2333" customFormat="1" ht="15" customHeight="1">
      <c r="A564" s="3131"/>
      <c r="B564" s="3134"/>
      <c r="C564" s="3140"/>
      <c r="D564" s="3140"/>
      <c r="E564" s="2338" t="s">
        <v>541</v>
      </c>
      <c r="F564" s="2339">
        <f t="shared" si="63"/>
        <v>1386</v>
      </c>
      <c r="G564" s="2339">
        <v>1386</v>
      </c>
      <c r="H564" s="2339"/>
      <c r="I564" s="2339"/>
      <c r="J564" s="2340"/>
      <c r="K564" s="2370"/>
    </row>
    <row r="565" spans="1:11" s="2333" customFormat="1" ht="15" customHeight="1">
      <c r="A565" s="3131"/>
      <c r="B565" s="3134"/>
      <c r="C565" s="3140"/>
      <c r="D565" s="3140"/>
      <c r="E565" s="2338" t="s">
        <v>544</v>
      </c>
      <c r="F565" s="2339">
        <f t="shared" si="63"/>
        <v>2166</v>
      </c>
      <c r="G565" s="2339">
        <v>2166</v>
      </c>
      <c r="H565" s="2339"/>
      <c r="I565" s="2339"/>
      <c r="J565" s="2340"/>
      <c r="K565" s="2371"/>
    </row>
    <row r="566" spans="1:11" s="2333" customFormat="1" ht="15" customHeight="1">
      <c r="A566" s="3131"/>
      <c r="B566" s="3134"/>
      <c r="C566" s="3140"/>
      <c r="D566" s="3140"/>
      <c r="E566" s="2338" t="s">
        <v>545</v>
      </c>
      <c r="F566" s="2339">
        <f t="shared" si="63"/>
        <v>241</v>
      </c>
      <c r="G566" s="2339">
        <v>241</v>
      </c>
      <c r="H566" s="2339"/>
      <c r="I566" s="2339"/>
      <c r="J566" s="2340"/>
      <c r="K566" s="2369"/>
    </row>
    <row r="567" spans="1:11" s="2333" customFormat="1" ht="15" customHeight="1">
      <c r="A567" s="3131"/>
      <c r="B567" s="3134"/>
      <c r="C567" s="3140"/>
      <c r="D567" s="3140"/>
      <c r="E567" s="2338" t="s">
        <v>546</v>
      </c>
      <c r="F567" s="2339">
        <f t="shared" si="63"/>
        <v>306</v>
      </c>
      <c r="G567" s="2339">
        <v>306</v>
      </c>
      <c r="H567" s="2339"/>
      <c r="I567" s="2339"/>
      <c r="J567" s="2340"/>
      <c r="K567" s="2369"/>
    </row>
    <row r="568" spans="1:11" s="2333" customFormat="1" ht="15" customHeight="1">
      <c r="A568" s="3131"/>
      <c r="B568" s="3134"/>
      <c r="C568" s="3140"/>
      <c r="D568" s="3140"/>
      <c r="E568" s="2338" t="s">
        <v>547</v>
      </c>
      <c r="F568" s="2339">
        <f t="shared" si="63"/>
        <v>34</v>
      </c>
      <c r="G568" s="2339">
        <v>34</v>
      </c>
      <c r="H568" s="2339"/>
      <c r="I568" s="2339"/>
      <c r="J568" s="2340"/>
      <c r="K568" s="2369"/>
    </row>
    <row r="569" spans="1:11" s="2333" customFormat="1" ht="22.5">
      <c r="A569" s="3131"/>
      <c r="B569" s="3134"/>
      <c r="C569" s="3140"/>
      <c r="D569" s="3140"/>
      <c r="E569" s="2347" t="s">
        <v>1137</v>
      </c>
      <c r="F569" s="2348">
        <f>SUM(F570:F577)</f>
        <v>230169</v>
      </c>
      <c r="G569" s="2348">
        <f>SUM(G570:G577)</f>
        <v>230169</v>
      </c>
      <c r="H569" s="2348">
        <f>SUM(H570:H577)</f>
        <v>0</v>
      </c>
      <c r="I569" s="2348">
        <f>SUM(I570:I577)</f>
        <v>0</v>
      </c>
      <c r="J569" s="2349">
        <f>SUM(J570:J577)</f>
        <v>0</v>
      </c>
      <c r="K569" s="2369"/>
    </row>
    <row r="570" spans="1:11" s="2333" customFormat="1" ht="15" customHeight="1">
      <c r="A570" s="3131"/>
      <c r="B570" s="3134"/>
      <c r="C570" s="3140"/>
      <c r="D570" s="3140"/>
      <c r="E570" s="2338" t="s">
        <v>553</v>
      </c>
      <c r="F570" s="2339">
        <f t="shared" ref="F570:F577" si="64">SUM(G570:J570)</f>
        <v>3543</v>
      </c>
      <c r="G570" s="2339">
        <v>3543</v>
      </c>
      <c r="H570" s="2339"/>
      <c r="I570" s="2339"/>
      <c r="J570" s="2340"/>
      <c r="K570" s="2369"/>
    </row>
    <row r="571" spans="1:11" s="2333" customFormat="1" ht="15" customHeight="1">
      <c r="A571" s="3131"/>
      <c r="B571" s="3134"/>
      <c r="C571" s="3140"/>
      <c r="D571" s="3140"/>
      <c r="E571" s="2338" t="s">
        <v>554</v>
      </c>
      <c r="F571" s="2339">
        <f t="shared" si="64"/>
        <v>394</v>
      </c>
      <c r="G571" s="2339">
        <v>394</v>
      </c>
      <c r="H571" s="2339"/>
      <c r="I571" s="2339"/>
      <c r="J571" s="2340"/>
      <c r="K571" s="2369"/>
    </row>
    <row r="572" spans="1:11" s="2333" customFormat="1" ht="15" customHeight="1">
      <c r="A572" s="3131"/>
      <c r="B572" s="3134"/>
      <c r="C572" s="3140"/>
      <c r="D572" s="3140"/>
      <c r="E572" s="2338" t="s">
        <v>557</v>
      </c>
      <c r="F572" s="2339">
        <f t="shared" si="64"/>
        <v>202494</v>
      </c>
      <c r="G572" s="2339">
        <v>202494</v>
      </c>
      <c r="H572" s="2339"/>
      <c r="I572" s="2339"/>
      <c r="J572" s="2340"/>
      <c r="K572" s="2369"/>
    </row>
    <row r="573" spans="1:11" s="2333" customFormat="1" ht="15" customHeight="1">
      <c r="A573" s="3131"/>
      <c r="B573" s="3134"/>
      <c r="C573" s="3140"/>
      <c r="D573" s="3140"/>
      <c r="E573" s="2338" t="s">
        <v>558</v>
      </c>
      <c r="F573" s="2339">
        <f t="shared" si="64"/>
        <v>22499</v>
      </c>
      <c r="G573" s="2339">
        <v>22499</v>
      </c>
      <c r="H573" s="2339"/>
      <c r="I573" s="2339"/>
      <c r="J573" s="2340"/>
      <c r="K573" s="2369"/>
    </row>
    <row r="574" spans="1:11" s="2333" customFormat="1" ht="15" customHeight="1">
      <c r="A574" s="3131"/>
      <c r="B574" s="3134"/>
      <c r="C574" s="3140"/>
      <c r="D574" s="3140"/>
      <c r="E574" s="2338" t="s">
        <v>675</v>
      </c>
      <c r="F574" s="2339">
        <f t="shared" si="64"/>
        <v>283</v>
      </c>
      <c r="G574" s="2339">
        <v>283</v>
      </c>
      <c r="H574" s="2339"/>
      <c r="I574" s="2339"/>
      <c r="J574" s="2340"/>
      <c r="K574" s="2369"/>
    </row>
    <row r="575" spans="1:11" s="2333" customFormat="1" ht="15" customHeight="1">
      <c r="A575" s="3131"/>
      <c r="B575" s="3134"/>
      <c r="C575" s="3140"/>
      <c r="D575" s="3140"/>
      <c r="E575" s="2338" t="s">
        <v>648</v>
      </c>
      <c r="F575" s="2339">
        <f t="shared" si="64"/>
        <v>32</v>
      </c>
      <c r="G575" s="2339">
        <v>32</v>
      </c>
      <c r="H575" s="2339"/>
      <c r="I575" s="2339"/>
      <c r="J575" s="2340"/>
      <c r="K575" s="2369"/>
    </row>
    <row r="576" spans="1:11" s="2333" customFormat="1" ht="15" customHeight="1">
      <c r="A576" s="3131"/>
      <c r="B576" s="3134"/>
      <c r="C576" s="3140"/>
      <c r="D576" s="3140"/>
      <c r="E576" s="2338" t="s">
        <v>650</v>
      </c>
      <c r="F576" s="2339">
        <f t="shared" si="64"/>
        <v>831</v>
      </c>
      <c r="G576" s="2339">
        <v>831</v>
      </c>
      <c r="H576" s="2339"/>
      <c r="I576" s="2339"/>
      <c r="J576" s="2340"/>
      <c r="K576" s="2369"/>
    </row>
    <row r="577" spans="1:11" s="2333" customFormat="1" ht="15" customHeight="1">
      <c r="A577" s="3131"/>
      <c r="B577" s="3134"/>
      <c r="C577" s="3140"/>
      <c r="D577" s="3140"/>
      <c r="E577" s="2338" t="s">
        <v>651</v>
      </c>
      <c r="F577" s="2339">
        <f t="shared" si="64"/>
        <v>93</v>
      </c>
      <c r="G577" s="2339">
        <v>93</v>
      </c>
      <c r="H577" s="2339"/>
      <c r="I577" s="2339"/>
      <c r="J577" s="2340"/>
      <c r="K577" s="2369"/>
    </row>
    <row r="578" spans="1:11" s="2333" customFormat="1" ht="15" customHeight="1">
      <c r="A578" s="3132"/>
      <c r="B578" s="3135"/>
      <c r="C578" s="3141"/>
      <c r="D578" s="3141"/>
      <c r="E578" s="2341" t="s">
        <v>1130</v>
      </c>
      <c r="F578" s="2336">
        <f>SUM(F579:F580)</f>
        <v>0</v>
      </c>
      <c r="G578" s="2336">
        <f>SUM(G579:G580)</f>
        <v>0</v>
      </c>
      <c r="H578" s="2336">
        <f>SUM(H579:H580)</f>
        <v>0</v>
      </c>
      <c r="I578" s="2336">
        <f>SUM(I579:I580)</f>
        <v>0</v>
      </c>
      <c r="J578" s="2337">
        <f>SUM(J579:J580)</f>
        <v>0</v>
      </c>
      <c r="K578" s="2369"/>
    </row>
    <row r="579" spans="1:11" s="2333" customFormat="1" ht="15" hidden="1" customHeight="1">
      <c r="A579" s="2350"/>
      <c r="B579" s="2351"/>
      <c r="C579" s="2353"/>
      <c r="D579" s="2353"/>
      <c r="E579" s="2354"/>
      <c r="F579" s="2355">
        <f>SUM(G579:J579)</f>
        <v>0</v>
      </c>
      <c r="G579" s="2355"/>
      <c r="H579" s="2355"/>
      <c r="I579" s="2355"/>
      <c r="J579" s="2356"/>
    </row>
    <row r="580" spans="1:11" s="2333" customFormat="1" ht="15" hidden="1" customHeight="1">
      <c r="A580" s="2350"/>
      <c r="B580" s="2351"/>
      <c r="C580" s="2353"/>
      <c r="D580" s="2353"/>
      <c r="E580" s="2368"/>
      <c r="F580" s="2355">
        <f>SUM(G580:J580)</f>
        <v>0</v>
      </c>
      <c r="G580" s="2355"/>
      <c r="H580" s="2355"/>
      <c r="I580" s="2355"/>
      <c r="J580" s="2356"/>
    </row>
    <row r="581" spans="1:11" s="2333" customFormat="1" ht="22.5">
      <c r="A581" s="3130" t="s">
        <v>1190</v>
      </c>
      <c r="B581" s="3133" t="s">
        <v>1191</v>
      </c>
      <c r="C581" s="3139" t="s">
        <v>4</v>
      </c>
      <c r="D581" s="3139" t="s">
        <v>3</v>
      </c>
      <c r="E581" s="2330" t="s">
        <v>1129</v>
      </c>
      <c r="F581" s="2331">
        <f>SUM(F582,F601)</f>
        <v>149467</v>
      </c>
      <c r="G581" s="2331">
        <f>SUM(G582,G601)</f>
        <v>149467</v>
      </c>
      <c r="H581" s="2331">
        <f>SUM(H582,H601)</f>
        <v>0</v>
      </c>
      <c r="I581" s="2331">
        <f>SUM(I582,I601)</f>
        <v>0</v>
      </c>
      <c r="J581" s="2332">
        <f>SUM(J582,J601)</f>
        <v>0</v>
      </c>
      <c r="K581" s="2369"/>
    </row>
    <row r="582" spans="1:11" s="2333" customFormat="1" ht="21">
      <c r="A582" s="3131"/>
      <c r="B582" s="3134"/>
      <c r="C582" s="3140"/>
      <c r="D582" s="3140"/>
      <c r="E582" s="2335" t="s">
        <v>1135</v>
      </c>
      <c r="F582" s="2336">
        <f>SUM(F583,F585,F592)</f>
        <v>149467</v>
      </c>
      <c r="G582" s="2336">
        <f t="shared" ref="G582:J582" si="65">SUM(G583,G585,G592)</f>
        <v>149467</v>
      </c>
      <c r="H582" s="2336">
        <f t="shared" si="65"/>
        <v>0</v>
      </c>
      <c r="I582" s="2336">
        <f t="shared" si="65"/>
        <v>0</v>
      </c>
      <c r="J582" s="2337">
        <f t="shared" si="65"/>
        <v>0</v>
      </c>
      <c r="K582" s="2369"/>
    </row>
    <row r="583" spans="1:11" s="2333" customFormat="1" ht="15" customHeight="1">
      <c r="A583" s="3131"/>
      <c r="B583" s="3134"/>
      <c r="C583" s="3140"/>
      <c r="D583" s="3140"/>
      <c r="E583" s="2347" t="s">
        <v>1150</v>
      </c>
      <c r="F583" s="2348">
        <f>SUM(F584)</f>
        <v>13310</v>
      </c>
      <c r="G583" s="2348">
        <f t="shared" ref="G583:J583" si="66">SUM(G584)</f>
        <v>13310</v>
      </c>
      <c r="H583" s="2348">
        <f t="shared" si="66"/>
        <v>0</v>
      </c>
      <c r="I583" s="2348">
        <f t="shared" si="66"/>
        <v>0</v>
      </c>
      <c r="J583" s="2349">
        <f t="shared" si="66"/>
        <v>0</v>
      </c>
      <c r="K583" s="2369"/>
    </row>
    <row r="584" spans="1:11" s="2333" customFormat="1" ht="15" customHeight="1">
      <c r="A584" s="3131"/>
      <c r="B584" s="3134"/>
      <c r="C584" s="3140"/>
      <c r="D584" s="3140"/>
      <c r="E584" s="2338" t="s">
        <v>537</v>
      </c>
      <c r="F584" s="2339">
        <f>SUM(G584:J584)</f>
        <v>13310</v>
      </c>
      <c r="G584" s="2339">
        <v>13310</v>
      </c>
      <c r="H584" s="2339"/>
      <c r="I584" s="2339"/>
      <c r="J584" s="2340"/>
      <c r="K584" s="2370"/>
    </row>
    <row r="585" spans="1:11" s="2333" customFormat="1" ht="22.5">
      <c r="A585" s="3131"/>
      <c r="B585" s="3134"/>
      <c r="C585" s="3140"/>
      <c r="D585" s="3140"/>
      <c r="E585" s="2347" t="s">
        <v>1136</v>
      </c>
      <c r="F585" s="2348">
        <f>SUM(F586:F591)</f>
        <v>28230</v>
      </c>
      <c r="G585" s="2348">
        <f t="shared" ref="G585:J585" si="67">SUM(G586:G591)</f>
        <v>28230</v>
      </c>
      <c r="H585" s="2348">
        <f t="shared" si="67"/>
        <v>0</v>
      </c>
      <c r="I585" s="2348">
        <f t="shared" si="67"/>
        <v>0</v>
      </c>
      <c r="J585" s="2349">
        <f t="shared" si="67"/>
        <v>0</v>
      </c>
      <c r="K585" s="2369"/>
    </row>
    <row r="586" spans="1:11" s="2333" customFormat="1" ht="15" customHeight="1">
      <c r="A586" s="3131"/>
      <c r="B586" s="3134"/>
      <c r="C586" s="3140"/>
      <c r="D586" s="3140"/>
      <c r="E586" s="2338" t="s">
        <v>540</v>
      </c>
      <c r="F586" s="2339">
        <f t="shared" ref="F586:F591" si="68">SUM(G586:J586)</f>
        <v>21206</v>
      </c>
      <c r="G586" s="2339">
        <v>21206</v>
      </c>
      <c r="H586" s="2339"/>
      <c r="I586" s="2339"/>
      <c r="J586" s="2340"/>
      <c r="K586" s="2370"/>
    </row>
    <row r="587" spans="1:11" s="2333" customFormat="1" ht="15" customHeight="1">
      <c r="A587" s="3131"/>
      <c r="B587" s="3134"/>
      <c r="C587" s="3140"/>
      <c r="D587" s="3140"/>
      <c r="E587" s="2338" t="s">
        <v>541</v>
      </c>
      <c r="F587" s="2339">
        <f t="shared" si="68"/>
        <v>2356</v>
      </c>
      <c r="G587" s="2339">
        <v>2356</v>
      </c>
      <c r="H587" s="2339"/>
      <c r="I587" s="2339"/>
      <c r="J587" s="2340"/>
      <c r="K587" s="2370"/>
    </row>
    <row r="588" spans="1:11" s="2333" customFormat="1" ht="15" customHeight="1">
      <c r="A588" s="3131"/>
      <c r="B588" s="3134"/>
      <c r="C588" s="3140"/>
      <c r="D588" s="3140"/>
      <c r="E588" s="2338" t="s">
        <v>544</v>
      </c>
      <c r="F588" s="2339">
        <f t="shared" si="68"/>
        <v>3682</v>
      </c>
      <c r="G588" s="2339">
        <v>3682</v>
      </c>
      <c r="H588" s="2339"/>
      <c r="I588" s="2339"/>
      <c r="J588" s="2340"/>
      <c r="K588" s="2370"/>
    </row>
    <row r="589" spans="1:11" s="2333" customFormat="1" ht="15" customHeight="1">
      <c r="A589" s="3131"/>
      <c r="B589" s="3134"/>
      <c r="C589" s="3140"/>
      <c r="D589" s="3140"/>
      <c r="E589" s="2338" t="s">
        <v>545</v>
      </c>
      <c r="F589" s="2339">
        <f t="shared" si="68"/>
        <v>409</v>
      </c>
      <c r="G589" s="2339">
        <v>409</v>
      </c>
      <c r="H589" s="2339"/>
      <c r="I589" s="2339"/>
      <c r="J589" s="2340"/>
      <c r="K589" s="2371"/>
    </row>
    <row r="590" spans="1:11" s="2333" customFormat="1" ht="15" customHeight="1">
      <c r="A590" s="3131"/>
      <c r="B590" s="3134"/>
      <c r="C590" s="3140"/>
      <c r="D590" s="3140"/>
      <c r="E590" s="2338" t="s">
        <v>546</v>
      </c>
      <c r="F590" s="2339">
        <f t="shared" si="68"/>
        <v>519</v>
      </c>
      <c r="G590" s="2339">
        <v>519</v>
      </c>
      <c r="H590" s="2339"/>
      <c r="I590" s="2339"/>
      <c r="J590" s="2340"/>
      <c r="K590" s="2369"/>
    </row>
    <row r="591" spans="1:11" s="2333" customFormat="1" ht="15" customHeight="1">
      <c r="A591" s="3131"/>
      <c r="B591" s="3134"/>
      <c r="C591" s="3140"/>
      <c r="D591" s="3140"/>
      <c r="E591" s="2338" t="s">
        <v>547</v>
      </c>
      <c r="F591" s="2339">
        <f t="shared" si="68"/>
        <v>58</v>
      </c>
      <c r="G591" s="2339">
        <v>58</v>
      </c>
      <c r="H591" s="2339"/>
      <c r="I591" s="2339"/>
      <c r="J591" s="2340"/>
      <c r="K591" s="2369"/>
    </row>
    <row r="592" spans="1:11" s="2333" customFormat="1" ht="22.5">
      <c r="A592" s="3131"/>
      <c r="B592" s="3134"/>
      <c r="C592" s="3140"/>
      <c r="D592" s="3140"/>
      <c r="E592" s="2347" t="s">
        <v>1137</v>
      </c>
      <c r="F592" s="2348">
        <f>SUM(F593:F600)</f>
        <v>107927</v>
      </c>
      <c r="G592" s="2348">
        <f>SUM(G593:G600)</f>
        <v>107927</v>
      </c>
      <c r="H592" s="2348">
        <f>SUM(H593:H600)</f>
        <v>0</v>
      </c>
      <c r="I592" s="2348">
        <f>SUM(I593:I600)</f>
        <v>0</v>
      </c>
      <c r="J592" s="2349">
        <f>SUM(J593:J600)</f>
        <v>0</v>
      </c>
      <c r="K592" s="2369"/>
    </row>
    <row r="593" spans="1:11" s="2333" customFormat="1" ht="15" customHeight="1">
      <c r="A593" s="3131"/>
      <c r="B593" s="3134"/>
      <c r="C593" s="3140"/>
      <c r="D593" s="3140"/>
      <c r="E593" s="2338" t="s">
        <v>553</v>
      </c>
      <c r="F593" s="2339">
        <f t="shared" ref="F593:F600" si="69">SUM(G593:J593)</f>
        <v>2635</v>
      </c>
      <c r="G593" s="2339">
        <v>2635</v>
      </c>
      <c r="H593" s="2339"/>
      <c r="I593" s="2339"/>
      <c r="J593" s="2340"/>
      <c r="K593" s="2369"/>
    </row>
    <row r="594" spans="1:11" s="2333" customFormat="1" ht="15" customHeight="1">
      <c r="A594" s="3131"/>
      <c r="B594" s="3134"/>
      <c r="C594" s="3140"/>
      <c r="D594" s="3140"/>
      <c r="E594" s="2338" t="s">
        <v>554</v>
      </c>
      <c r="F594" s="2339">
        <f t="shared" si="69"/>
        <v>293</v>
      </c>
      <c r="G594" s="2339">
        <v>293</v>
      </c>
      <c r="H594" s="2339"/>
      <c r="I594" s="2339"/>
      <c r="J594" s="2340"/>
      <c r="K594" s="2369"/>
    </row>
    <row r="595" spans="1:11" s="2333" customFormat="1" ht="15" customHeight="1">
      <c r="A595" s="3131"/>
      <c r="B595" s="3134"/>
      <c r="C595" s="3140"/>
      <c r="D595" s="3140"/>
      <c r="E595" s="2338" t="s">
        <v>557</v>
      </c>
      <c r="F595" s="2339">
        <f t="shared" si="69"/>
        <v>90650</v>
      </c>
      <c r="G595" s="2339">
        <v>90650</v>
      </c>
      <c r="H595" s="2339"/>
      <c r="I595" s="2339"/>
      <c r="J595" s="2340"/>
      <c r="K595" s="2369"/>
    </row>
    <row r="596" spans="1:11" s="2333" customFormat="1" ht="15" customHeight="1">
      <c r="A596" s="3131"/>
      <c r="B596" s="3134"/>
      <c r="C596" s="3140"/>
      <c r="D596" s="3140"/>
      <c r="E596" s="2338" t="s">
        <v>558</v>
      </c>
      <c r="F596" s="2339">
        <f t="shared" si="69"/>
        <v>10072</v>
      </c>
      <c r="G596" s="2339">
        <v>10072</v>
      </c>
      <c r="H596" s="2339"/>
      <c r="I596" s="2339"/>
      <c r="J596" s="2340"/>
      <c r="K596" s="2369"/>
    </row>
    <row r="597" spans="1:11" s="2333" customFormat="1" ht="15" customHeight="1">
      <c r="A597" s="3131"/>
      <c r="B597" s="3134"/>
      <c r="C597" s="3140"/>
      <c r="D597" s="3140"/>
      <c r="E597" s="2338" t="s">
        <v>675</v>
      </c>
      <c r="F597" s="2339">
        <f t="shared" si="69"/>
        <v>3849</v>
      </c>
      <c r="G597" s="2339">
        <v>3849</v>
      </c>
      <c r="H597" s="2339"/>
      <c r="I597" s="2339"/>
      <c r="J597" s="2340"/>
      <c r="K597" s="2369"/>
    </row>
    <row r="598" spans="1:11" s="2333" customFormat="1" ht="15" customHeight="1">
      <c r="A598" s="3131"/>
      <c r="B598" s="3134"/>
      <c r="C598" s="3140"/>
      <c r="D598" s="3140"/>
      <c r="E598" s="2338" t="s">
        <v>648</v>
      </c>
      <c r="F598" s="2339">
        <f t="shared" si="69"/>
        <v>428</v>
      </c>
      <c r="G598" s="2339">
        <v>428</v>
      </c>
      <c r="H598" s="2339"/>
      <c r="I598" s="2339"/>
      <c r="J598" s="2340"/>
      <c r="K598" s="2369"/>
    </row>
    <row r="599" spans="1:11" s="2333" customFormat="1" ht="15" hidden="1" customHeight="1">
      <c r="A599" s="3131"/>
      <c r="B599" s="3134"/>
      <c r="C599" s="3140"/>
      <c r="D599" s="3140"/>
      <c r="E599" s="2338" t="s">
        <v>650</v>
      </c>
      <c r="F599" s="2339">
        <f t="shared" si="69"/>
        <v>0</v>
      </c>
      <c r="G599" s="2339"/>
      <c r="H599" s="2339"/>
      <c r="I599" s="2339"/>
      <c r="J599" s="2340"/>
      <c r="K599" s="2369"/>
    </row>
    <row r="600" spans="1:11" s="2333" customFormat="1" ht="15" hidden="1" customHeight="1">
      <c r="A600" s="3131"/>
      <c r="B600" s="3134"/>
      <c r="C600" s="3140"/>
      <c r="D600" s="3140"/>
      <c r="E600" s="2338" t="s">
        <v>651</v>
      </c>
      <c r="F600" s="2339">
        <f t="shared" si="69"/>
        <v>0</v>
      </c>
      <c r="G600" s="2339"/>
      <c r="H600" s="2339"/>
      <c r="I600" s="2339"/>
      <c r="J600" s="2340"/>
      <c r="K600" s="2369"/>
    </row>
    <row r="601" spans="1:11" s="2333" customFormat="1" ht="15" customHeight="1">
      <c r="A601" s="3132"/>
      <c r="B601" s="3135"/>
      <c r="C601" s="3141"/>
      <c r="D601" s="3141"/>
      <c r="E601" s="2341" t="s">
        <v>1130</v>
      </c>
      <c r="F601" s="2336">
        <f>SUM(F602:F603)</f>
        <v>0</v>
      </c>
      <c r="G601" s="2336">
        <f>SUM(G602:G603)</f>
        <v>0</v>
      </c>
      <c r="H601" s="2336">
        <f>SUM(H602:H603)</f>
        <v>0</v>
      </c>
      <c r="I601" s="2336">
        <f>SUM(I602:I603)</f>
        <v>0</v>
      </c>
      <c r="J601" s="2337">
        <f>SUM(J602:J603)</f>
        <v>0</v>
      </c>
      <c r="K601" s="2369"/>
    </row>
    <row r="602" spans="1:11" s="2333" customFormat="1" ht="15" hidden="1" customHeight="1">
      <c r="A602" s="2350"/>
      <c r="B602" s="2351"/>
      <c r="C602" s="2353"/>
      <c r="D602" s="2353"/>
      <c r="E602" s="2354"/>
      <c r="F602" s="2355">
        <f>SUM(G602:J602)</f>
        <v>0</v>
      </c>
      <c r="G602" s="2355"/>
      <c r="H602" s="2355"/>
      <c r="I602" s="2355"/>
      <c r="J602" s="2356"/>
    </row>
    <row r="603" spans="1:11" s="2333" customFormat="1" ht="15" hidden="1" customHeight="1">
      <c r="A603" s="2350"/>
      <c r="B603" s="2351"/>
      <c r="C603" s="2353"/>
      <c r="D603" s="2353"/>
      <c r="E603" s="2368"/>
      <c r="F603" s="2355">
        <f>SUM(G603:J603)</f>
        <v>0</v>
      </c>
      <c r="G603" s="2355"/>
      <c r="H603" s="2355"/>
      <c r="I603" s="2355"/>
      <c r="J603" s="2356"/>
    </row>
    <row r="604" spans="1:11" s="2333" customFormat="1" ht="22.5" customHeight="1">
      <c r="A604" s="3130" t="s">
        <v>1192</v>
      </c>
      <c r="B604" s="3133" t="s">
        <v>1193</v>
      </c>
      <c r="C604" s="3139" t="s">
        <v>4</v>
      </c>
      <c r="D604" s="3139" t="s">
        <v>712</v>
      </c>
      <c r="E604" s="2330" t="s">
        <v>1129</v>
      </c>
      <c r="F604" s="2331">
        <f>SUM(F605,F635)</f>
        <v>1310805</v>
      </c>
      <c r="G604" s="2331">
        <f>SUM(G605,G635)</f>
        <v>0</v>
      </c>
      <c r="H604" s="2331">
        <f>SUM(H605,H635)</f>
        <v>1235958</v>
      </c>
      <c r="I604" s="2331">
        <f>SUM(I605,I635)</f>
        <v>74847</v>
      </c>
      <c r="J604" s="2332">
        <f>SUM(J605,J635)</f>
        <v>0</v>
      </c>
    </row>
    <row r="605" spans="1:11" s="2333" customFormat="1" ht="21">
      <c r="A605" s="3131"/>
      <c r="B605" s="3134"/>
      <c r="C605" s="3140"/>
      <c r="D605" s="3140"/>
      <c r="E605" s="2335" t="s">
        <v>1135</v>
      </c>
      <c r="F605" s="2336">
        <f>SUM(F606,F611,F620)</f>
        <v>1310805</v>
      </c>
      <c r="G605" s="2336">
        <f t="shared" ref="G605:J605" si="70">SUM(G606,G611,G620)</f>
        <v>0</v>
      </c>
      <c r="H605" s="2336">
        <f t="shared" si="70"/>
        <v>1235958</v>
      </c>
      <c r="I605" s="2336">
        <f t="shared" si="70"/>
        <v>74847</v>
      </c>
      <c r="J605" s="2337">
        <f t="shared" si="70"/>
        <v>0</v>
      </c>
    </row>
    <row r="606" spans="1:11" s="2333" customFormat="1" ht="15" customHeight="1">
      <c r="A606" s="3131"/>
      <c r="B606" s="3134"/>
      <c r="C606" s="3140"/>
      <c r="D606" s="3140"/>
      <c r="E606" s="2347" t="s">
        <v>1150</v>
      </c>
      <c r="F606" s="2348">
        <f>SUM(F607:F610)</f>
        <v>1224758</v>
      </c>
      <c r="G606" s="2348">
        <f t="shared" ref="G606:J606" si="71">SUM(G607:G610)</f>
        <v>0</v>
      </c>
      <c r="H606" s="2348">
        <f t="shared" si="71"/>
        <v>1154824</v>
      </c>
      <c r="I606" s="2348">
        <f t="shared" si="71"/>
        <v>69934</v>
      </c>
      <c r="J606" s="2349">
        <f t="shared" si="71"/>
        <v>0</v>
      </c>
    </row>
    <row r="607" spans="1:11" s="2333" customFormat="1" ht="15" customHeight="1">
      <c r="A607" s="3131"/>
      <c r="B607" s="3134"/>
      <c r="C607" s="3140"/>
      <c r="D607" s="3140"/>
      <c r="E607" s="2338" t="s">
        <v>427</v>
      </c>
      <c r="F607" s="2339">
        <f t="shared" ref="F607:F610" si="72">SUM(G607:J607)</f>
        <v>100089</v>
      </c>
      <c r="G607" s="2339"/>
      <c r="H607" s="2339">
        <v>100089</v>
      </c>
      <c r="I607" s="2339"/>
      <c r="J607" s="2340"/>
    </row>
    <row r="608" spans="1:11" s="2333" customFormat="1" ht="15" customHeight="1">
      <c r="A608" s="3131"/>
      <c r="B608" s="3134"/>
      <c r="C608" s="3140"/>
      <c r="D608" s="3140"/>
      <c r="E608" s="2338" t="s">
        <v>420</v>
      </c>
      <c r="F608" s="2339">
        <f t="shared" si="72"/>
        <v>6061</v>
      </c>
      <c r="G608" s="2339"/>
      <c r="H608" s="2339"/>
      <c r="I608" s="2339">
        <v>6061</v>
      </c>
      <c r="J608" s="2340"/>
    </row>
    <row r="609" spans="1:10" s="2333" customFormat="1" ht="15" customHeight="1">
      <c r="A609" s="3131"/>
      <c r="B609" s="3134"/>
      <c r="C609" s="3140"/>
      <c r="D609" s="3140"/>
      <c r="E609" s="2338" t="s">
        <v>381</v>
      </c>
      <c r="F609" s="2339">
        <f t="shared" si="72"/>
        <v>1054735</v>
      </c>
      <c r="G609" s="2339"/>
      <c r="H609" s="2339">
        <v>1054735</v>
      </c>
      <c r="I609" s="2339"/>
      <c r="J609" s="2340"/>
    </row>
    <row r="610" spans="1:10" s="2333" customFormat="1" ht="15" customHeight="1">
      <c r="A610" s="3131"/>
      <c r="B610" s="3134"/>
      <c r="C610" s="3140"/>
      <c r="D610" s="3140"/>
      <c r="E610" s="2338" t="s">
        <v>303</v>
      </c>
      <c r="F610" s="2339">
        <f t="shared" si="72"/>
        <v>63873</v>
      </c>
      <c r="G610" s="2339"/>
      <c r="H610" s="2339"/>
      <c r="I610" s="2339">
        <v>63873</v>
      </c>
      <c r="J610" s="2340"/>
    </row>
    <row r="611" spans="1:10" s="2333" customFormat="1" ht="22.5">
      <c r="A611" s="3131"/>
      <c r="B611" s="3134"/>
      <c r="C611" s="3140"/>
      <c r="D611" s="3140"/>
      <c r="E611" s="2347" t="s">
        <v>1136</v>
      </c>
      <c r="F611" s="2348">
        <f>SUM(F612:F619)</f>
        <v>10398</v>
      </c>
      <c r="G611" s="2348">
        <f>SUM(G612:G619)</f>
        <v>0</v>
      </c>
      <c r="H611" s="2348">
        <f>SUM(H612:H619)</f>
        <v>9806</v>
      </c>
      <c r="I611" s="2348">
        <f>SUM(I612:I619)</f>
        <v>592</v>
      </c>
      <c r="J611" s="2349">
        <f>SUM(J612:J619)</f>
        <v>0</v>
      </c>
    </row>
    <row r="612" spans="1:10" s="2333" customFormat="1" ht="15" customHeight="1">
      <c r="A612" s="3131"/>
      <c r="B612" s="3134"/>
      <c r="C612" s="3140"/>
      <c r="D612" s="3140"/>
      <c r="E612" s="2338" t="s">
        <v>596</v>
      </c>
      <c r="F612" s="2339">
        <f t="shared" ref="F612:F619" si="73">SUM(G612:J612)</f>
        <v>5214</v>
      </c>
      <c r="G612" s="2339"/>
      <c r="H612" s="2339">
        <v>5214</v>
      </c>
      <c r="I612" s="2339"/>
      <c r="J612" s="2340"/>
    </row>
    <row r="613" spans="1:10" s="2333" customFormat="1" ht="15" customHeight="1">
      <c r="A613" s="3131"/>
      <c r="B613" s="3134"/>
      <c r="C613" s="3140"/>
      <c r="D613" s="3140"/>
      <c r="E613" s="2338" t="s">
        <v>541</v>
      </c>
      <c r="F613" s="2339">
        <f t="shared" si="73"/>
        <v>315</v>
      </c>
      <c r="G613" s="2339"/>
      <c r="H613" s="2339"/>
      <c r="I613" s="2339">
        <v>315</v>
      </c>
      <c r="J613" s="2340"/>
    </row>
    <row r="614" spans="1:10" s="2333" customFormat="1" ht="15" customHeight="1">
      <c r="A614" s="3131"/>
      <c r="B614" s="3134"/>
      <c r="C614" s="3140"/>
      <c r="D614" s="3140"/>
      <c r="E614" s="2338" t="s">
        <v>598</v>
      </c>
      <c r="F614" s="2339">
        <f t="shared" si="73"/>
        <v>896</v>
      </c>
      <c r="G614" s="2339"/>
      <c r="H614" s="2339">
        <v>896</v>
      </c>
      <c r="I614" s="2339"/>
      <c r="J614" s="2340"/>
    </row>
    <row r="615" spans="1:10" s="2333" customFormat="1" ht="15" customHeight="1">
      <c r="A615" s="3131"/>
      <c r="B615" s="3134"/>
      <c r="C615" s="3140"/>
      <c r="D615" s="3140"/>
      <c r="E615" s="2338" t="s">
        <v>545</v>
      </c>
      <c r="F615" s="2339">
        <f t="shared" si="73"/>
        <v>54</v>
      </c>
      <c r="G615" s="2339"/>
      <c r="H615" s="2339"/>
      <c r="I615" s="2339">
        <v>54</v>
      </c>
      <c r="J615" s="2340"/>
    </row>
    <row r="616" spans="1:10" s="2333" customFormat="1" ht="15" customHeight="1">
      <c r="A616" s="3131"/>
      <c r="B616" s="3134"/>
      <c r="C616" s="3140"/>
      <c r="D616" s="3140"/>
      <c r="E616" s="2338" t="s">
        <v>599</v>
      </c>
      <c r="F616" s="2339">
        <f t="shared" si="73"/>
        <v>128</v>
      </c>
      <c r="G616" s="2339"/>
      <c r="H616" s="2339">
        <v>128</v>
      </c>
      <c r="I616" s="2339"/>
      <c r="J616" s="2340"/>
    </row>
    <row r="617" spans="1:10" s="2333" customFormat="1" ht="15" customHeight="1">
      <c r="A617" s="3131"/>
      <c r="B617" s="3134"/>
      <c r="C617" s="3140"/>
      <c r="D617" s="3140"/>
      <c r="E617" s="2338" t="s">
        <v>547</v>
      </c>
      <c r="F617" s="2339">
        <f t="shared" si="73"/>
        <v>7</v>
      </c>
      <c r="G617" s="2339"/>
      <c r="H617" s="2339"/>
      <c r="I617" s="2339">
        <v>7</v>
      </c>
      <c r="J617" s="2340"/>
    </row>
    <row r="618" spans="1:10" s="2333" customFormat="1" ht="15" customHeight="1">
      <c r="A618" s="3131"/>
      <c r="B618" s="3134"/>
      <c r="C618" s="3140"/>
      <c r="D618" s="3140"/>
      <c r="E618" s="2338" t="s">
        <v>673</v>
      </c>
      <c r="F618" s="2339">
        <f t="shared" si="73"/>
        <v>3568</v>
      </c>
      <c r="G618" s="2339"/>
      <c r="H618" s="2339">
        <v>3568</v>
      </c>
      <c r="I618" s="2339"/>
      <c r="J618" s="2340"/>
    </row>
    <row r="619" spans="1:10" s="2333" customFormat="1" ht="15" customHeight="1">
      <c r="A619" s="3131"/>
      <c r="B619" s="3134"/>
      <c r="C619" s="3140"/>
      <c r="D619" s="3140"/>
      <c r="E619" s="2338" t="s">
        <v>549</v>
      </c>
      <c r="F619" s="2339">
        <f t="shared" si="73"/>
        <v>216</v>
      </c>
      <c r="G619" s="2339"/>
      <c r="H619" s="2339"/>
      <c r="I619" s="2339">
        <v>216</v>
      </c>
      <c r="J619" s="2340"/>
    </row>
    <row r="620" spans="1:10" s="2333" customFormat="1" ht="22.5">
      <c r="A620" s="3131"/>
      <c r="B620" s="3134"/>
      <c r="C620" s="3140"/>
      <c r="D620" s="3140"/>
      <c r="E620" s="2347" t="s">
        <v>1137</v>
      </c>
      <c r="F620" s="2348">
        <f>SUM(F621:F634)</f>
        <v>75649</v>
      </c>
      <c r="G620" s="2348">
        <f>SUM(G621:G634)</f>
        <v>0</v>
      </c>
      <c r="H620" s="2348">
        <f>SUM(H621:H634)</f>
        <v>71328</v>
      </c>
      <c r="I620" s="2348">
        <f>SUM(I621:I634)</f>
        <v>4321</v>
      </c>
      <c r="J620" s="2349">
        <f>SUM(J621:J634)</f>
        <v>0</v>
      </c>
    </row>
    <row r="621" spans="1:10" s="2333" customFormat="1" ht="15" customHeight="1">
      <c r="A621" s="3131"/>
      <c r="B621" s="3134"/>
      <c r="C621" s="3140"/>
      <c r="D621" s="3140"/>
      <c r="E621" s="2338" t="s">
        <v>600</v>
      </c>
      <c r="F621" s="2339">
        <f t="shared" ref="F621:F634" si="74">SUM(G621:J621)</f>
        <v>407</v>
      </c>
      <c r="G621" s="2339"/>
      <c r="H621" s="2339">
        <v>407</v>
      </c>
      <c r="I621" s="2339"/>
      <c r="J621" s="2340"/>
    </row>
    <row r="622" spans="1:10" s="2333" customFormat="1" ht="15" customHeight="1">
      <c r="A622" s="3131"/>
      <c r="B622" s="3134"/>
      <c r="C622" s="3140"/>
      <c r="D622" s="3140"/>
      <c r="E622" s="2338" t="s">
        <v>554</v>
      </c>
      <c r="F622" s="2339">
        <f t="shared" si="74"/>
        <v>25</v>
      </c>
      <c r="G622" s="2339"/>
      <c r="H622" s="2339"/>
      <c r="I622" s="2339">
        <v>25</v>
      </c>
      <c r="J622" s="2340"/>
    </row>
    <row r="623" spans="1:10" s="2333" customFormat="1" ht="15" customHeight="1">
      <c r="A623" s="3131"/>
      <c r="B623" s="3134"/>
      <c r="C623" s="3140"/>
      <c r="D623" s="3140"/>
      <c r="E623" s="2338" t="s">
        <v>786</v>
      </c>
      <c r="F623" s="2339">
        <f t="shared" si="74"/>
        <v>471</v>
      </c>
      <c r="G623" s="2339"/>
      <c r="H623" s="2339">
        <v>471</v>
      </c>
      <c r="I623" s="2339"/>
      <c r="J623" s="2340"/>
    </row>
    <row r="624" spans="1:10" s="2333" customFormat="1" ht="15" customHeight="1">
      <c r="A624" s="3131"/>
      <c r="B624" s="3134"/>
      <c r="C624" s="3140"/>
      <c r="D624" s="3140"/>
      <c r="E624" s="2338" t="s">
        <v>693</v>
      </c>
      <c r="F624" s="2339">
        <f t="shared" si="74"/>
        <v>29</v>
      </c>
      <c r="G624" s="2339"/>
      <c r="H624" s="2339"/>
      <c r="I624" s="2339">
        <v>29</v>
      </c>
      <c r="J624" s="2340"/>
    </row>
    <row r="625" spans="1:10" s="2333" customFormat="1" ht="15" customHeight="1">
      <c r="A625" s="3131"/>
      <c r="B625" s="3134"/>
      <c r="C625" s="3140"/>
      <c r="D625" s="3140"/>
      <c r="E625" s="2338" t="s">
        <v>601</v>
      </c>
      <c r="F625" s="2339">
        <f t="shared" si="74"/>
        <v>21674</v>
      </c>
      <c r="G625" s="2339"/>
      <c r="H625" s="2339">
        <v>21674</v>
      </c>
      <c r="I625" s="2339"/>
      <c r="J625" s="2340"/>
    </row>
    <row r="626" spans="1:10" s="2333" customFormat="1" ht="15" customHeight="1">
      <c r="A626" s="3131"/>
      <c r="B626" s="3134"/>
      <c r="C626" s="3140"/>
      <c r="D626" s="3140"/>
      <c r="E626" s="2338" t="s">
        <v>558</v>
      </c>
      <c r="F626" s="2339">
        <f t="shared" si="74"/>
        <v>1312</v>
      </c>
      <c r="G626" s="2339"/>
      <c r="H626" s="2339"/>
      <c r="I626" s="2339">
        <v>1312</v>
      </c>
      <c r="J626" s="2340"/>
    </row>
    <row r="627" spans="1:10" s="2333" customFormat="1" ht="15" customHeight="1">
      <c r="A627" s="3131"/>
      <c r="B627" s="3134"/>
      <c r="C627" s="3140"/>
      <c r="D627" s="3140"/>
      <c r="E627" s="2338" t="s">
        <v>790</v>
      </c>
      <c r="F627" s="2339">
        <f t="shared" si="74"/>
        <v>1037</v>
      </c>
      <c r="G627" s="2339"/>
      <c r="H627" s="2339">
        <v>1037</v>
      </c>
      <c r="I627" s="2339"/>
      <c r="J627" s="2340"/>
    </row>
    <row r="628" spans="1:10" s="2333" customFormat="1" ht="15" customHeight="1">
      <c r="A628" s="3131"/>
      <c r="B628" s="3134"/>
      <c r="C628" s="3140"/>
      <c r="D628" s="3140"/>
      <c r="E628" s="2338" t="s">
        <v>719</v>
      </c>
      <c r="F628" s="2339">
        <f t="shared" si="74"/>
        <v>63</v>
      </c>
      <c r="G628" s="2339"/>
      <c r="H628" s="2339"/>
      <c r="I628" s="2339">
        <v>63</v>
      </c>
      <c r="J628" s="2340"/>
    </row>
    <row r="629" spans="1:10" s="2333" customFormat="1" ht="15" customHeight="1">
      <c r="A629" s="3131"/>
      <c r="B629" s="3134"/>
      <c r="C629" s="3140"/>
      <c r="D629" s="3140"/>
      <c r="E629" s="2338" t="s">
        <v>676</v>
      </c>
      <c r="F629" s="2339">
        <f t="shared" si="74"/>
        <v>47551</v>
      </c>
      <c r="G629" s="2339"/>
      <c r="H629" s="2339">
        <v>47551</v>
      </c>
      <c r="I629" s="2339"/>
      <c r="J629" s="2340"/>
    </row>
    <row r="630" spans="1:10" s="2333" customFormat="1" ht="15" customHeight="1">
      <c r="A630" s="3131"/>
      <c r="B630" s="3134"/>
      <c r="C630" s="3140"/>
      <c r="D630" s="3140"/>
      <c r="E630" s="2338" t="s">
        <v>560</v>
      </c>
      <c r="F630" s="2339">
        <f t="shared" si="74"/>
        <v>2880</v>
      </c>
      <c r="G630" s="2339"/>
      <c r="H630" s="2339"/>
      <c r="I630" s="2339">
        <v>2880</v>
      </c>
      <c r="J630" s="2340"/>
    </row>
    <row r="631" spans="1:10" s="2333" customFormat="1" ht="15" customHeight="1">
      <c r="A631" s="3131"/>
      <c r="B631" s="3134"/>
      <c r="C631" s="3140"/>
      <c r="D631" s="3140"/>
      <c r="E631" s="2338" t="s">
        <v>602</v>
      </c>
      <c r="F631" s="2339">
        <f t="shared" si="74"/>
        <v>94</v>
      </c>
      <c r="G631" s="2339"/>
      <c r="H631" s="2339">
        <v>94</v>
      </c>
      <c r="I631" s="2339"/>
      <c r="J631" s="2340"/>
    </row>
    <row r="632" spans="1:10" s="2333" customFormat="1" ht="15" customHeight="1">
      <c r="A632" s="3131"/>
      <c r="B632" s="3134"/>
      <c r="C632" s="3140"/>
      <c r="D632" s="3140"/>
      <c r="E632" s="2338" t="s">
        <v>562</v>
      </c>
      <c r="F632" s="2339">
        <f t="shared" si="74"/>
        <v>6</v>
      </c>
      <c r="G632" s="2339"/>
      <c r="H632" s="2339"/>
      <c r="I632" s="2339">
        <v>6</v>
      </c>
      <c r="J632" s="2340"/>
    </row>
    <row r="633" spans="1:10" s="2333" customFormat="1" ht="15" customHeight="1">
      <c r="A633" s="3131"/>
      <c r="B633" s="3134"/>
      <c r="C633" s="3140"/>
      <c r="D633" s="3140"/>
      <c r="E633" s="2338" t="s">
        <v>957</v>
      </c>
      <c r="F633" s="2339">
        <f t="shared" si="74"/>
        <v>94</v>
      </c>
      <c r="G633" s="2339"/>
      <c r="H633" s="2339">
        <v>94</v>
      </c>
      <c r="I633" s="2339"/>
      <c r="J633" s="2340"/>
    </row>
    <row r="634" spans="1:10" s="2333" customFormat="1" ht="15" customHeight="1">
      <c r="A634" s="3131"/>
      <c r="B634" s="3134"/>
      <c r="C634" s="3140"/>
      <c r="D634" s="3140"/>
      <c r="E634" s="2338" t="s">
        <v>564</v>
      </c>
      <c r="F634" s="2339">
        <f t="shared" si="74"/>
        <v>6</v>
      </c>
      <c r="G634" s="2339"/>
      <c r="H634" s="2339"/>
      <c r="I634" s="2339">
        <v>6</v>
      </c>
      <c r="J634" s="2340"/>
    </row>
    <row r="635" spans="1:10" s="2333" customFormat="1" ht="15" customHeight="1">
      <c r="A635" s="3132"/>
      <c r="B635" s="3135"/>
      <c r="C635" s="3141"/>
      <c r="D635" s="3141"/>
      <c r="E635" s="2341" t="s">
        <v>1130</v>
      </c>
      <c r="F635" s="2336">
        <f>SUM(F636:F641)</f>
        <v>0</v>
      </c>
      <c r="G635" s="2336">
        <f>SUM(G636:G641)</f>
        <v>0</v>
      </c>
      <c r="H635" s="2336">
        <f>SUM(H636:H641)</f>
        <v>0</v>
      </c>
      <c r="I635" s="2336">
        <f>SUM(I636:I641)</f>
        <v>0</v>
      </c>
      <c r="J635" s="2337">
        <f>SUM(J636:J641)</f>
        <v>0</v>
      </c>
    </row>
    <row r="636" spans="1:10" s="2333" customFormat="1" ht="15" hidden="1" customHeight="1">
      <c r="A636" s="2345"/>
      <c r="B636" s="2346"/>
      <c r="C636" s="2373"/>
      <c r="D636" s="2373"/>
      <c r="E636" s="2338" t="s">
        <v>605</v>
      </c>
      <c r="F636" s="2339">
        <f>SUM(G636:J636)</f>
        <v>0</v>
      </c>
      <c r="G636" s="2339"/>
      <c r="H636" s="2339"/>
      <c r="I636" s="2339"/>
      <c r="J636" s="2340"/>
    </row>
    <row r="637" spans="1:10" s="2333" customFormat="1" ht="15" hidden="1" customHeight="1">
      <c r="A637" s="2345"/>
      <c r="B637" s="2346"/>
      <c r="C637" s="2373"/>
      <c r="D637" s="2373"/>
      <c r="E637" s="2338" t="s">
        <v>607</v>
      </c>
      <c r="F637" s="2339">
        <f t="shared" ref="F637:F641" si="75">SUM(G637:J637)</f>
        <v>0</v>
      </c>
      <c r="G637" s="2339"/>
      <c r="H637" s="2339"/>
      <c r="I637" s="2339"/>
      <c r="J637" s="2340"/>
    </row>
    <row r="638" spans="1:10" s="2333" customFormat="1" ht="15" hidden="1" customHeight="1">
      <c r="A638" s="2345"/>
      <c r="B638" s="2346"/>
      <c r="C638" s="2373"/>
      <c r="D638" s="2373"/>
      <c r="E638" s="2338" t="s">
        <v>670</v>
      </c>
      <c r="F638" s="2339">
        <f t="shared" si="75"/>
        <v>0</v>
      </c>
      <c r="G638" s="2339"/>
      <c r="H638" s="2339"/>
      <c r="I638" s="2339"/>
      <c r="J638" s="2340"/>
    </row>
    <row r="639" spans="1:10" s="2333" customFormat="1" ht="15" hidden="1" customHeight="1">
      <c r="A639" s="2345"/>
      <c r="B639" s="2346"/>
      <c r="C639" s="2373"/>
      <c r="D639" s="2373"/>
      <c r="E639" s="2338" t="s">
        <v>608</v>
      </c>
      <c r="F639" s="2339">
        <f t="shared" si="75"/>
        <v>0</v>
      </c>
      <c r="G639" s="2339"/>
      <c r="H639" s="2339"/>
      <c r="I639" s="2339"/>
      <c r="J639" s="2340"/>
    </row>
    <row r="640" spans="1:10" s="2333" customFormat="1" ht="15" hidden="1" customHeight="1">
      <c r="A640" s="2345"/>
      <c r="B640" s="2346"/>
      <c r="C640" s="2373"/>
      <c r="D640" s="2373"/>
      <c r="E640" s="2338" t="s">
        <v>604</v>
      </c>
      <c r="F640" s="2339">
        <f t="shared" si="75"/>
        <v>0</v>
      </c>
      <c r="G640" s="2339"/>
      <c r="H640" s="2339"/>
      <c r="I640" s="2339"/>
      <c r="J640" s="2340"/>
    </row>
    <row r="641" spans="1:10" s="2333" customFormat="1" ht="15" hidden="1" customHeight="1">
      <c r="A641" s="2345"/>
      <c r="B641" s="2346"/>
      <c r="C641" s="2373"/>
      <c r="D641" s="2373"/>
      <c r="E641" s="2344">
        <v>6069</v>
      </c>
      <c r="F641" s="2339">
        <f t="shared" si="75"/>
        <v>0</v>
      </c>
      <c r="G641" s="2339"/>
      <c r="H641" s="2339"/>
      <c r="I641" s="2339"/>
      <c r="J641" s="2340"/>
    </row>
    <row r="642" spans="1:10" s="2333" customFormat="1" ht="22.5" customHeight="1">
      <c r="A642" s="3130" t="s">
        <v>1194</v>
      </c>
      <c r="B642" s="3133" t="s">
        <v>1195</v>
      </c>
      <c r="C642" s="3139" t="s">
        <v>4</v>
      </c>
      <c r="D642" s="3139" t="s">
        <v>712</v>
      </c>
      <c r="E642" s="2330" t="s">
        <v>1129</v>
      </c>
      <c r="F642" s="2331">
        <f>SUM(F643,F661)</f>
        <v>370239</v>
      </c>
      <c r="G642" s="2331">
        <f>SUM(G643,G661)</f>
        <v>20545</v>
      </c>
      <c r="H642" s="2331">
        <f>SUM(H643,H661)</f>
        <v>330267</v>
      </c>
      <c r="I642" s="2331">
        <f>SUM(I643,I661)</f>
        <v>19427</v>
      </c>
      <c r="J642" s="2332">
        <f>SUM(J643,J661)</f>
        <v>0</v>
      </c>
    </row>
    <row r="643" spans="1:10" s="2333" customFormat="1" ht="21">
      <c r="A643" s="3131"/>
      <c r="B643" s="3134"/>
      <c r="C643" s="3140"/>
      <c r="D643" s="3140"/>
      <c r="E643" s="2335" t="s">
        <v>1135</v>
      </c>
      <c r="F643" s="2336">
        <f>SUM(F644,F647,F654)</f>
        <v>370239</v>
      </c>
      <c r="G643" s="2336">
        <f>SUM(G644,G647,G654)</f>
        <v>20545</v>
      </c>
      <c r="H643" s="2336">
        <f>SUM(H644,H647,H654)</f>
        <v>330267</v>
      </c>
      <c r="I643" s="2336">
        <f>SUM(I644,I647,I654)</f>
        <v>19427</v>
      </c>
      <c r="J643" s="2337">
        <f>SUM(J644,J647,J654)</f>
        <v>0</v>
      </c>
    </row>
    <row r="644" spans="1:10" s="2333" customFormat="1" ht="15" customHeight="1">
      <c r="A644" s="3131"/>
      <c r="B644" s="3134"/>
      <c r="C644" s="3140"/>
      <c r="D644" s="3140"/>
      <c r="E644" s="2347" t="s">
        <v>1150</v>
      </c>
      <c r="F644" s="2348">
        <f>SUM(F645:F646)</f>
        <v>164792</v>
      </c>
      <c r="G644" s="2348">
        <f>SUM(G645:G646)</f>
        <v>0</v>
      </c>
      <c r="H644" s="2348">
        <f>SUM(H645:H646)</f>
        <v>155637</v>
      </c>
      <c r="I644" s="2348">
        <f>SUM(I645:I646)</f>
        <v>9155</v>
      </c>
      <c r="J644" s="2349">
        <f>SUM(J645:J646)</f>
        <v>0</v>
      </c>
    </row>
    <row r="645" spans="1:10" s="2333" customFormat="1" ht="15" customHeight="1">
      <c r="A645" s="3131"/>
      <c r="B645" s="3134"/>
      <c r="C645" s="3140"/>
      <c r="D645" s="3140"/>
      <c r="E645" s="2338" t="s">
        <v>427</v>
      </c>
      <c r="F645" s="2339">
        <f t="shared" ref="F645:F646" si="76">SUM(G645:J645)</f>
        <v>155637</v>
      </c>
      <c r="G645" s="2339"/>
      <c r="H645" s="2339">
        <v>155637</v>
      </c>
      <c r="I645" s="2339"/>
      <c r="J645" s="2340"/>
    </row>
    <row r="646" spans="1:10" s="2333" customFormat="1" ht="15" customHeight="1">
      <c r="A646" s="3131"/>
      <c r="B646" s="3134"/>
      <c r="C646" s="3140"/>
      <c r="D646" s="3140"/>
      <c r="E646" s="2338" t="s">
        <v>420</v>
      </c>
      <c r="F646" s="2339">
        <f t="shared" si="76"/>
        <v>9155</v>
      </c>
      <c r="G646" s="2339"/>
      <c r="H646" s="2339"/>
      <c r="I646" s="2339">
        <v>9155</v>
      </c>
      <c r="J646" s="2340"/>
    </row>
    <row r="647" spans="1:10" s="2333" customFormat="1" ht="22.5">
      <c r="A647" s="3131"/>
      <c r="B647" s="3134"/>
      <c r="C647" s="3140"/>
      <c r="D647" s="3140"/>
      <c r="E647" s="2347" t="s">
        <v>1136</v>
      </c>
      <c r="F647" s="2348">
        <f>SUM(F648:F653)</f>
        <v>114908</v>
      </c>
      <c r="G647" s="2348">
        <f>SUM(G648:G653)</f>
        <v>11491</v>
      </c>
      <c r="H647" s="2348">
        <f>SUM(H648:H653)</f>
        <v>97672</v>
      </c>
      <c r="I647" s="2348">
        <f>SUM(I648:I653)</f>
        <v>5745</v>
      </c>
      <c r="J647" s="2349">
        <f>SUM(J648:J653)</f>
        <v>0</v>
      </c>
    </row>
    <row r="648" spans="1:10" s="2333" customFormat="1" ht="15" customHeight="1">
      <c r="A648" s="3131"/>
      <c r="B648" s="3134"/>
      <c r="C648" s="3140"/>
      <c r="D648" s="3140"/>
      <c r="E648" s="2338" t="s">
        <v>596</v>
      </c>
      <c r="F648" s="2339">
        <f t="shared" ref="F648:F653" si="77">SUM(G648:J648)</f>
        <v>81654</v>
      </c>
      <c r="G648" s="2339"/>
      <c r="H648" s="2339">
        <v>81654</v>
      </c>
      <c r="I648" s="2339"/>
      <c r="J648" s="2340"/>
    </row>
    <row r="649" spans="1:10" s="2333" customFormat="1" ht="15" customHeight="1">
      <c r="A649" s="3131"/>
      <c r="B649" s="3134"/>
      <c r="C649" s="3140"/>
      <c r="D649" s="3140"/>
      <c r="E649" s="2338" t="s">
        <v>541</v>
      </c>
      <c r="F649" s="2339">
        <f t="shared" si="77"/>
        <v>14409</v>
      </c>
      <c r="G649" s="2339">
        <v>9606</v>
      </c>
      <c r="H649" s="2339"/>
      <c r="I649" s="2339">
        <v>4803</v>
      </c>
      <c r="J649" s="2340"/>
    </row>
    <row r="650" spans="1:10" s="2333" customFormat="1" ht="15" customHeight="1">
      <c r="A650" s="3131"/>
      <c r="B650" s="3134"/>
      <c r="C650" s="3140"/>
      <c r="D650" s="3140"/>
      <c r="E650" s="2338" t="s">
        <v>598</v>
      </c>
      <c r="F650" s="2339">
        <f t="shared" si="77"/>
        <v>14065</v>
      </c>
      <c r="G650" s="2339"/>
      <c r="H650" s="2339">
        <v>14065</v>
      </c>
      <c r="I650" s="2339"/>
      <c r="J650" s="2340"/>
    </row>
    <row r="651" spans="1:10" s="2333" customFormat="1" ht="15" customHeight="1">
      <c r="A651" s="3131"/>
      <c r="B651" s="3134"/>
      <c r="C651" s="3140"/>
      <c r="D651" s="3140"/>
      <c r="E651" s="2338" t="s">
        <v>545</v>
      </c>
      <c r="F651" s="2339">
        <f t="shared" si="77"/>
        <v>2482</v>
      </c>
      <c r="G651" s="2339">
        <v>1655</v>
      </c>
      <c r="H651" s="2339"/>
      <c r="I651" s="2339">
        <v>827</v>
      </c>
      <c r="J651" s="2340"/>
    </row>
    <row r="652" spans="1:10" s="2333" customFormat="1" ht="15" customHeight="1">
      <c r="A652" s="3131"/>
      <c r="B652" s="3134"/>
      <c r="C652" s="3140"/>
      <c r="D652" s="3140"/>
      <c r="E652" s="2338" t="s">
        <v>599</v>
      </c>
      <c r="F652" s="2339">
        <f t="shared" si="77"/>
        <v>1953</v>
      </c>
      <c r="G652" s="2339"/>
      <c r="H652" s="2339">
        <v>1953</v>
      </c>
      <c r="I652" s="2339"/>
      <c r="J652" s="2340"/>
    </row>
    <row r="653" spans="1:10" s="2333" customFormat="1" ht="15" customHeight="1">
      <c r="A653" s="3131"/>
      <c r="B653" s="3134"/>
      <c r="C653" s="3140"/>
      <c r="D653" s="3140"/>
      <c r="E653" s="2338" t="s">
        <v>547</v>
      </c>
      <c r="F653" s="2339">
        <f t="shared" si="77"/>
        <v>345</v>
      </c>
      <c r="G653" s="2339">
        <v>230</v>
      </c>
      <c r="H653" s="2339"/>
      <c r="I653" s="2339">
        <v>115</v>
      </c>
      <c r="J653" s="2340"/>
    </row>
    <row r="654" spans="1:10" s="2333" customFormat="1" ht="22.5">
      <c r="A654" s="3131"/>
      <c r="B654" s="3134"/>
      <c r="C654" s="3140"/>
      <c r="D654" s="3140"/>
      <c r="E654" s="2347" t="s">
        <v>1137</v>
      </c>
      <c r="F654" s="2348">
        <f>SUM(F655:F660)</f>
        <v>90539</v>
      </c>
      <c r="G654" s="2348">
        <f>SUM(G655:G660)</f>
        <v>9054</v>
      </c>
      <c r="H654" s="2348">
        <f>SUM(H655:H660)</f>
        <v>76958</v>
      </c>
      <c r="I654" s="2348">
        <f>SUM(I655:I660)</f>
        <v>4527</v>
      </c>
      <c r="J654" s="2349">
        <f>SUM(J655:J660)</f>
        <v>0</v>
      </c>
    </row>
    <row r="655" spans="1:10" s="2333" customFormat="1" ht="15" customHeight="1">
      <c r="A655" s="3131"/>
      <c r="B655" s="3134"/>
      <c r="C655" s="3140"/>
      <c r="D655" s="3140"/>
      <c r="E655" s="2338" t="s">
        <v>601</v>
      </c>
      <c r="F655" s="2339">
        <f t="shared" ref="F655:F660" si="78">SUM(G655:J655)</f>
        <v>16150</v>
      </c>
      <c r="G655" s="2339"/>
      <c r="H655" s="2339">
        <v>16150</v>
      </c>
      <c r="I655" s="2339"/>
      <c r="J655" s="2340"/>
    </row>
    <row r="656" spans="1:10" s="2333" customFormat="1" ht="15" customHeight="1">
      <c r="A656" s="3131"/>
      <c r="B656" s="3134"/>
      <c r="C656" s="3140"/>
      <c r="D656" s="3140"/>
      <c r="E656" s="2338" t="s">
        <v>558</v>
      </c>
      <c r="F656" s="2339">
        <f t="shared" si="78"/>
        <v>2850</v>
      </c>
      <c r="G656" s="2339">
        <v>1900</v>
      </c>
      <c r="H656" s="2339"/>
      <c r="I656" s="2339">
        <v>950</v>
      </c>
      <c r="J656" s="2340"/>
    </row>
    <row r="657" spans="1:10" s="2333" customFormat="1" ht="15" customHeight="1">
      <c r="A657" s="3131"/>
      <c r="B657" s="3134"/>
      <c r="C657" s="3140"/>
      <c r="D657" s="3140"/>
      <c r="E657" s="2338" t="s">
        <v>676</v>
      </c>
      <c r="F657" s="2339">
        <f t="shared" si="78"/>
        <v>51000</v>
      </c>
      <c r="G657" s="2339"/>
      <c r="H657" s="2339">
        <v>51000</v>
      </c>
      <c r="I657" s="2339"/>
      <c r="J657" s="2340"/>
    </row>
    <row r="658" spans="1:10" s="2333" customFormat="1" ht="15" customHeight="1">
      <c r="A658" s="3131"/>
      <c r="B658" s="3134"/>
      <c r="C658" s="3140"/>
      <c r="D658" s="3140"/>
      <c r="E658" s="2338" t="s">
        <v>560</v>
      </c>
      <c r="F658" s="2339">
        <f t="shared" si="78"/>
        <v>9000</v>
      </c>
      <c r="G658" s="2339">
        <v>6000</v>
      </c>
      <c r="H658" s="2339"/>
      <c r="I658" s="2339">
        <v>3000</v>
      </c>
      <c r="J658" s="2340"/>
    </row>
    <row r="659" spans="1:10" s="2333" customFormat="1" ht="15" customHeight="1">
      <c r="A659" s="3131"/>
      <c r="B659" s="3134"/>
      <c r="C659" s="3140"/>
      <c r="D659" s="3140"/>
      <c r="E659" s="2338" t="s">
        <v>602</v>
      </c>
      <c r="F659" s="2339">
        <f t="shared" si="78"/>
        <v>9808</v>
      </c>
      <c r="G659" s="2339"/>
      <c r="H659" s="2339">
        <v>9808</v>
      </c>
      <c r="I659" s="2339"/>
      <c r="J659" s="2340"/>
    </row>
    <row r="660" spans="1:10" s="2333" customFormat="1" ht="15" customHeight="1">
      <c r="A660" s="3131"/>
      <c r="B660" s="3134"/>
      <c r="C660" s="3140"/>
      <c r="D660" s="3140"/>
      <c r="E660" s="2338" t="s">
        <v>562</v>
      </c>
      <c r="F660" s="2339">
        <f t="shared" si="78"/>
        <v>1731</v>
      </c>
      <c r="G660" s="2339">
        <v>1154</v>
      </c>
      <c r="H660" s="2339"/>
      <c r="I660" s="2339">
        <v>577</v>
      </c>
      <c r="J660" s="2340"/>
    </row>
    <row r="661" spans="1:10" s="2333" customFormat="1" ht="15" customHeight="1">
      <c r="A661" s="3132"/>
      <c r="B661" s="3135"/>
      <c r="C661" s="3141"/>
      <c r="D661" s="3141"/>
      <c r="E661" s="2341" t="s">
        <v>1130</v>
      </c>
      <c r="F661" s="2336">
        <f>SUM(F662:F663)</f>
        <v>0</v>
      </c>
      <c r="G661" s="2336">
        <f>SUM(G662:G663)</f>
        <v>0</v>
      </c>
      <c r="H661" s="2336">
        <f>SUM(H662:H663)</f>
        <v>0</v>
      </c>
      <c r="I661" s="2336">
        <f>SUM(I662:I663)</f>
        <v>0</v>
      </c>
      <c r="J661" s="2337">
        <f>SUM(J662:J663)</f>
        <v>0</v>
      </c>
    </row>
    <row r="662" spans="1:10" s="2333" customFormat="1" ht="15" hidden="1" customHeight="1">
      <c r="A662" s="2374"/>
      <c r="B662" s="2375"/>
      <c r="C662" s="2376"/>
      <c r="D662" s="2376"/>
      <c r="E662" s="2338"/>
      <c r="F662" s="2339">
        <f>SUM(G662:J662)</f>
        <v>0</v>
      </c>
      <c r="G662" s="2339"/>
      <c r="H662" s="2339"/>
      <c r="I662" s="2339"/>
      <c r="J662" s="2340"/>
    </row>
    <row r="663" spans="1:10" s="2333" customFormat="1" ht="15" hidden="1" customHeight="1">
      <c r="A663" s="2377"/>
      <c r="B663" s="2378"/>
      <c r="C663" s="2379"/>
      <c r="D663" s="2379"/>
      <c r="E663" s="2338"/>
      <c r="F663" s="2339">
        <f t="shared" ref="F663" si="79">SUM(G663:J663)</f>
        <v>0</v>
      </c>
      <c r="G663" s="2339"/>
      <c r="H663" s="2339"/>
      <c r="I663" s="2339"/>
      <c r="J663" s="2340"/>
    </row>
    <row r="664" spans="1:10" s="2333" customFormat="1" ht="22.5">
      <c r="A664" s="3130" t="s">
        <v>1196</v>
      </c>
      <c r="B664" s="3133" t="s">
        <v>1197</v>
      </c>
      <c r="C664" s="3139" t="s">
        <v>4</v>
      </c>
      <c r="D664" s="3139" t="s">
        <v>712</v>
      </c>
      <c r="E664" s="2330" t="s">
        <v>1129</v>
      </c>
      <c r="F664" s="2331">
        <f>SUM(F665,F692)</f>
        <v>1500000</v>
      </c>
      <c r="G664" s="2331">
        <f>SUM(G665,G692)</f>
        <v>0</v>
      </c>
      <c r="H664" s="2331">
        <f>SUM(H665,H692)</f>
        <v>1275000</v>
      </c>
      <c r="I664" s="2331">
        <f>SUM(I665,I692)</f>
        <v>225000</v>
      </c>
      <c r="J664" s="2332">
        <f>SUM(J665,J692)</f>
        <v>0</v>
      </c>
    </row>
    <row r="665" spans="1:10" s="2333" customFormat="1" ht="21">
      <c r="A665" s="3131"/>
      <c r="B665" s="3134"/>
      <c r="C665" s="3140"/>
      <c r="D665" s="3140"/>
      <c r="E665" s="2335" t="s">
        <v>1135</v>
      </c>
      <c r="F665" s="2336">
        <f>SUM(F666,F675)</f>
        <v>1500000</v>
      </c>
      <c r="G665" s="2336">
        <f>SUM(G666,G675)</f>
        <v>0</v>
      </c>
      <c r="H665" s="2336">
        <f>SUM(H666,H675)</f>
        <v>1275000</v>
      </c>
      <c r="I665" s="2336">
        <f>SUM(I666,I675)</f>
        <v>225000</v>
      </c>
      <c r="J665" s="2337">
        <f>SUM(J666,J675)</f>
        <v>0</v>
      </c>
    </row>
    <row r="666" spans="1:10" s="2333" customFormat="1" ht="22.5">
      <c r="A666" s="3131"/>
      <c r="B666" s="3134"/>
      <c r="C666" s="3140"/>
      <c r="D666" s="3140"/>
      <c r="E666" s="2347" t="s">
        <v>1136</v>
      </c>
      <c r="F666" s="2348">
        <f>SUM(F667:F674)</f>
        <v>1415000</v>
      </c>
      <c r="G666" s="2348">
        <f>SUM(G667:G674)</f>
        <v>0</v>
      </c>
      <c r="H666" s="2348">
        <f>SUM(H667:H674)</f>
        <v>1202751</v>
      </c>
      <c r="I666" s="2348">
        <f>SUM(I667:I674)</f>
        <v>212249</v>
      </c>
      <c r="J666" s="2349">
        <f>SUM(J667:J674)</f>
        <v>0</v>
      </c>
    </row>
    <row r="667" spans="1:10" s="2333" customFormat="1" ht="15" customHeight="1">
      <c r="A667" s="3131"/>
      <c r="B667" s="3134"/>
      <c r="C667" s="3140"/>
      <c r="D667" s="3140"/>
      <c r="E667" s="2338" t="s">
        <v>540</v>
      </c>
      <c r="F667" s="2339">
        <f t="shared" ref="F667:F674" si="80">SUM(G667:J667)</f>
        <v>910006</v>
      </c>
      <c r="G667" s="2339"/>
      <c r="H667" s="2339">
        <v>910006</v>
      </c>
      <c r="I667" s="2339"/>
      <c r="J667" s="2340"/>
    </row>
    <row r="668" spans="1:10" s="2333" customFormat="1" ht="15" customHeight="1">
      <c r="A668" s="3131"/>
      <c r="B668" s="3134"/>
      <c r="C668" s="3140"/>
      <c r="D668" s="3140"/>
      <c r="E668" s="2338" t="s">
        <v>541</v>
      </c>
      <c r="F668" s="2339">
        <f t="shared" si="80"/>
        <v>160589</v>
      </c>
      <c r="G668" s="2339"/>
      <c r="H668" s="2339"/>
      <c r="I668" s="2339">
        <v>160589</v>
      </c>
      <c r="J668" s="2340"/>
    </row>
    <row r="669" spans="1:10" s="2333" customFormat="1" ht="15" customHeight="1">
      <c r="A669" s="3131"/>
      <c r="B669" s="3134"/>
      <c r="C669" s="3140"/>
      <c r="D669" s="3140"/>
      <c r="E669" s="2338" t="s">
        <v>542</v>
      </c>
      <c r="F669" s="2339">
        <f t="shared" si="80"/>
        <v>66628</v>
      </c>
      <c r="G669" s="2339"/>
      <c r="H669" s="2339">
        <v>66628</v>
      </c>
      <c r="I669" s="2339"/>
      <c r="J669" s="2340"/>
    </row>
    <row r="670" spans="1:10" s="2333" customFormat="1" ht="15" customHeight="1">
      <c r="A670" s="3131"/>
      <c r="B670" s="3134"/>
      <c r="C670" s="3140"/>
      <c r="D670" s="3140"/>
      <c r="E670" s="2338" t="s">
        <v>543</v>
      </c>
      <c r="F670" s="2339">
        <f t="shared" si="80"/>
        <v>11757</v>
      </c>
      <c r="G670" s="2339"/>
      <c r="H670" s="2339"/>
      <c r="I670" s="2339">
        <v>11757</v>
      </c>
      <c r="J670" s="2340"/>
    </row>
    <row r="671" spans="1:10" s="2333" customFormat="1" ht="15" customHeight="1">
      <c r="A671" s="3131"/>
      <c r="B671" s="3134"/>
      <c r="C671" s="3140"/>
      <c r="D671" s="3140"/>
      <c r="E671" s="2338" t="s">
        <v>544</v>
      </c>
      <c r="F671" s="2339">
        <f t="shared" si="80"/>
        <v>173910</v>
      </c>
      <c r="G671" s="2339"/>
      <c r="H671" s="2339">
        <v>173910</v>
      </c>
      <c r="I671" s="2339"/>
      <c r="J671" s="2340"/>
    </row>
    <row r="672" spans="1:10" s="2333" customFormat="1" ht="15" customHeight="1">
      <c r="A672" s="3131"/>
      <c r="B672" s="3134"/>
      <c r="C672" s="3140"/>
      <c r="D672" s="3140"/>
      <c r="E672" s="2338" t="s">
        <v>545</v>
      </c>
      <c r="F672" s="2339">
        <f t="shared" si="80"/>
        <v>30690</v>
      </c>
      <c r="G672" s="2339"/>
      <c r="H672" s="2339"/>
      <c r="I672" s="2339">
        <v>30690</v>
      </c>
      <c r="J672" s="2340"/>
    </row>
    <row r="673" spans="1:10" s="2333" customFormat="1" ht="15" customHeight="1">
      <c r="A673" s="3131"/>
      <c r="B673" s="3134"/>
      <c r="C673" s="3140"/>
      <c r="D673" s="3140"/>
      <c r="E673" s="2338" t="s">
        <v>546</v>
      </c>
      <c r="F673" s="2339">
        <f t="shared" si="80"/>
        <v>52207</v>
      </c>
      <c r="G673" s="2339"/>
      <c r="H673" s="2339">
        <v>52207</v>
      </c>
      <c r="I673" s="2339"/>
      <c r="J673" s="2340"/>
    </row>
    <row r="674" spans="1:10" s="2333" customFormat="1" ht="15" customHeight="1">
      <c r="A674" s="3131"/>
      <c r="B674" s="3134"/>
      <c r="C674" s="3140"/>
      <c r="D674" s="3140"/>
      <c r="E674" s="2338" t="s">
        <v>547</v>
      </c>
      <c r="F674" s="2339">
        <f t="shared" si="80"/>
        <v>9213</v>
      </c>
      <c r="G674" s="2339"/>
      <c r="H674" s="2339"/>
      <c r="I674" s="2339">
        <v>9213</v>
      </c>
      <c r="J674" s="2340"/>
    </row>
    <row r="675" spans="1:10" s="2333" customFormat="1" ht="22.5">
      <c r="A675" s="3131"/>
      <c r="B675" s="3134"/>
      <c r="C675" s="3140"/>
      <c r="D675" s="3140"/>
      <c r="E675" s="2347" t="s">
        <v>1137</v>
      </c>
      <c r="F675" s="2348">
        <f>SUM(F676:F691)</f>
        <v>85000</v>
      </c>
      <c r="G675" s="2348">
        <f>SUM(G676:G691)</f>
        <v>0</v>
      </c>
      <c r="H675" s="2348">
        <f>SUM(H676:H691)</f>
        <v>72249</v>
      </c>
      <c r="I675" s="2348">
        <f>SUM(I676:I691)</f>
        <v>12751</v>
      </c>
      <c r="J675" s="2349">
        <f>SUM(J676:J691)</f>
        <v>0</v>
      </c>
    </row>
    <row r="676" spans="1:10" s="2333" customFormat="1" ht="15" customHeight="1">
      <c r="A676" s="3131"/>
      <c r="B676" s="3134"/>
      <c r="C676" s="3140"/>
      <c r="D676" s="3140"/>
      <c r="E676" s="2338" t="s">
        <v>553</v>
      </c>
      <c r="F676" s="2339">
        <f t="shared" ref="F676:F691" si="81">SUM(G676:J676)</f>
        <v>2847</v>
      </c>
      <c r="G676" s="2339"/>
      <c r="H676" s="2339">
        <v>2847</v>
      </c>
      <c r="I676" s="2339"/>
      <c r="J676" s="2340"/>
    </row>
    <row r="677" spans="1:10" s="2333" customFormat="1" ht="15" customHeight="1">
      <c r="A677" s="3131"/>
      <c r="B677" s="3134"/>
      <c r="C677" s="3140"/>
      <c r="D677" s="3140"/>
      <c r="E677" s="2338" t="s">
        <v>554</v>
      </c>
      <c r="F677" s="2339">
        <f t="shared" si="81"/>
        <v>503</v>
      </c>
      <c r="G677" s="2339"/>
      <c r="H677" s="2339"/>
      <c r="I677" s="2339">
        <v>503</v>
      </c>
      <c r="J677" s="2340"/>
    </row>
    <row r="678" spans="1:10" s="2333" customFormat="1" ht="15" customHeight="1">
      <c r="A678" s="3131"/>
      <c r="B678" s="3134"/>
      <c r="C678" s="3140"/>
      <c r="D678" s="3140"/>
      <c r="E678" s="2338" t="s">
        <v>692</v>
      </c>
      <c r="F678" s="2339">
        <f t="shared" si="81"/>
        <v>15300</v>
      </c>
      <c r="G678" s="2339"/>
      <c r="H678" s="2339">
        <v>15300</v>
      </c>
      <c r="I678" s="2339"/>
      <c r="J678" s="2340"/>
    </row>
    <row r="679" spans="1:10" s="2333" customFormat="1" ht="15" customHeight="1">
      <c r="A679" s="3131"/>
      <c r="B679" s="3134"/>
      <c r="C679" s="3140"/>
      <c r="D679" s="3140"/>
      <c r="E679" s="2338" t="s">
        <v>693</v>
      </c>
      <c r="F679" s="2339">
        <f t="shared" si="81"/>
        <v>2700</v>
      </c>
      <c r="G679" s="2339"/>
      <c r="H679" s="2339"/>
      <c r="I679" s="2339">
        <v>2700</v>
      </c>
      <c r="J679" s="2340"/>
    </row>
    <row r="680" spans="1:10" s="2333" customFormat="1" ht="15" customHeight="1">
      <c r="A680" s="3131"/>
      <c r="B680" s="3134"/>
      <c r="C680" s="3140"/>
      <c r="D680" s="3140"/>
      <c r="E680" s="2338" t="s">
        <v>557</v>
      </c>
      <c r="F680" s="2339">
        <f t="shared" si="81"/>
        <v>37400</v>
      </c>
      <c r="G680" s="2339"/>
      <c r="H680" s="2339">
        <v>37400</v>
      </c>
      <c r="I680" s="2339"/>
      <c r="J680" s="2340"/>
    </row>
    <row r="681" spans="1:10" s="2333" customFormat="1" ht="15" customHeight="1">
      <c r="A681" s="3131"/>
      <c r="B681" s="3134"/>
      <c r="C681" s="3140"/>
      <c r="D681" s="3140"/>
      <c r="E681" s="2338" t="s">
        <v>558</v>
      </c>
      <c r="F681" s="2339">
        <f t="shared" si="81"/>
        <v>6600</v>
      </c>
      <c r="G681" s="2339"/>
      <c r="H681" s="2339"/>
      <c r="I681" s="2339">
        <v>6600</v>
      </c>
      <c r="J681" s="2340"/>
    </row>
    <row r="682" spans="1:10" s="2333" customFormat="1" ht="15" customHeight="1">
      <c r="A682" s="3131"/>
      <c r="B682" s="3134"/>
      <c r="C682" s="3140"/>
      <c r="D682" s="3140"/>
      <c r="E682" s="2338" t="s">
        <v>696</v>
      </c>
      <c r="F682" s="2339">
        <f t="shared" si="81"/>
        <v>1020</v>
      </c>
      <c r="G682" s="2339"/>
      <c r="H682" s="2339">
        <v>1020</v>
      </c>
      <c r="I682" s="2339"/>
      <c r="J682" s="2340"/>
    </row>
    <row r="683" spans="1:10" s="2333" customFormat="1" ht="15" customHeight="1">
      <c r="A683" s="3131"/>
      <c r="B683" s="3134"/>
      <c r="C683" s="3140"/>
      <c r="D683" s="3140"/>
      <c r="E683" s="2338" t="s">
        <v>719</v>
      </c>
      <c r="F683" s="2339">
        <f t="shared" si="81"/>
        <v>180</v>
      </c>
      <c r="G683" s="2339"/>
      <c r="H683" s="2339"/>
      <c r="I683" s="2339">
        <v>180</v>
      </c>
      <c r="J683" s="2340"/>
    </row>
    <row r="684" spans="1:10" s="2333" customFormat="1" ht="15" customHeight="1">
      <c r="A684" s="3131"/>
      <c r="B684" s="3134"/>
      <c r="C684" s="3140"/>
      <c r="D684" s="3140"/>
      <c r="E684" s="2338" t="s">
        <v>698</v>
      </c>
      <c r="F684" s="2339">
        <f t="shared" si="81"/>
        <v>11050</v>
      </c>
      <c r="G684" s="2339"/>
      <c r="H684" s="2339">
        <v>11050</v>
      </c>
      <c r="I684" s="2339"/>
      <c r="J684" s="2340"/>
    </row>
    <row r="685" spans="1:10" s="2333" customFormat="1" ht="15" customHeight="1">
      <c r="A685" s="3131"/>
      <c r="B685" s="3134"/>
      <c r="C685" s="3140"/>
      <c r="D685" s="3140"/>
      <c r="E685" s="2338" t="s">
        <v>699</v>
      </c>
      <c r="F685" s="2339">
        <f t="shared" si="81"/>
        <v>1950</v>
      </c>
      <c r="G685" s="2339"/>
      <c r="H685" s="2339"/>
      <c r="I685" s="2339">
        <v>1950</v>
      </c>
      <c r="J685" s="2340"/>
    </row>
    <row r="686" spans="1:10" s="2333" customFormat="1" ht="15" customHeight="1">
      <c r="A686" s="3131"/>
      <c r="B686" s="3134"/>
      <c r="C686" s="3140"/>
      <c r="D686" s="3140"/>
      <c r="E686" s="2338" t="s">
        <v>561</v>
      </c>
      <c r="F686" s="2339">
        <f t="shared" si="81"/>
        <v>4250</v>
      </c>
      <c r="G686" s="2339"/>
      <c r="H686" s="2339">
        <v>4250</v>
      </c>
      <c r="I686" s="2339"/>
      <c r="J686" s="2340"/>
    </row>
    <row r="687" spans="1:10" s="2333" customFormat="1" ht="15" customHeight="1">
      <c r="A687" s="3131"/>
      <c r="B687" s="3134"/>
      <c r="C687" s="3140"/>
      <c r="D687" s="3140"/>
      <c r="E687" s="2338" t="s">
        <v>562</v>
      </c>
      <c r="F687" s="2339">
        <f t="shared" si="81"/>
        <v>750</v>
      </c>
      <c r="G687" s="2339"/>
      <c r="H687" s="2339"/>
      <c r="I687" s="2339">
        <v>750</v>
      </c>
      <c r="J687" s="2340"/>
    </row>
    <row r="688" spans="1:10" s="2333" customFormat="1" ht="15" customHeight="1">
      <c r="A688" s="3131"/>
      <c r="B688" s="3134"/>
      <c r="C688" s="3140"/>
      <c r="D688" s="3140"/>
      <c r="E688" s="2338" t="s">
        <v>700</v>
      </c>
      <c r="F688" s="2339">
        <f t="shared" si="81"/>
        <v>382</v>
      </c>
      <c r="G688" s="2339"/>
      <c r="H688" s="2339">
        <v>382</v>
      </c>
      <c r="I688" s="2339"/>
      <c r="J688" s="2340"/>
    </row>
    <row r="689" spans="1:10" s="2333" customFormat="1" ht="15" customHeight="1">
      <c r="A689" s="3131"/>
      <c r="B689" s="3134"/>
      <c r="C689" s="3140"/>
      <c r="D689" s="3140"/>
      <c r="E689" s="2338" t="s">
        <v>701</v>
      </c>
      <c r="F689" s="2339">
        <f t="shared" si="81"/>
        <v>68</v>
      </c>
      <c r="G689" s="2339"/>
      <c r="H689" s="2339"/>
      <c r="I689" s="2339">
        <v>68</v>
      </c>
      <c r="J689" s="2340"/>
    </row>
    <row r="690" spans="1:10" s="2333" customFormat="1" ht="15" hidden="1" customHeight="1">
      <c r="A690" s="3131"/>
      <c r="B690" s="3134"/>
      <c r="C690" s="3140"/>
      <c r="D690" s="3140"/>
      <c r="E690" s="2338" t="s">
        <v>565</v>
      </c>
      <c r="F690" s="2339">
        <f t="shared" si="81"/>
        <v>0</v>
      </c>
      <c r="G690" s="2339"/>
      <c r="H690" s="2339"/>
      <c r="I690" s="2339"/>
      <c r="J690" s="2340"/>
    </row>
    <row r="691" spans="1:10" s="2333" customFormat="1" ht="15" hidden="1" customHeight="1">
      <c r="A691" s="3131"/>
      <c r="B691" s="3134"/>
      <c r="C691" s="3140"/>
      <c r="D691" s="3140"/>
      <c r="E691" s="2338" t="s">
        <v>566</v>
      </c>
      <c r="F691" s="2339">
        <f t="shared" si="81"/>
        <v>0</v>
      </c>
      <c r="G691" s="2339"/>
      <c r="H691" s="2339"/>
      <c r="I691" s="2339"/>
      <c r="J691" s="2340"/>
    </row>
    <row r="692" spans="1:10" s="2333" customFormat="1" ht="15" customHeight="1">
      <c r="A692" s="3132"/>
      <c r="B692" s="3135"/>
      <c r="C692" s="3141"/>
      <c r="D692" s="3141"/>
      <c r="E692" s="2341" t="s">
        <v>1130</v>
      </c>
      <c r="F692" s="2336">
        <f>SUM(F693:F694)</f>
        <v>0</v>
      </c>
      <c r="G692" s="2336">
        <f>SUM(G693:G694)</f>
        <v>0</v>
      </c>
      <c r="H692" s="2336">
        <f>SUM(H693:H694)</f>
        <v>0</v>
      </c>
      <c r="I692" s="2336">
        <f>SUM(I693:I694)</f>
        <v>0</v>
      </c>
      <c r="J692" s="2337">
        <f>SUM(J693:J694)</f>
        <v>0</v>
      </c>
    </row>
    <row r="693" spans="1:10" s="2333" customFormat="1" ht="15" hidden="1" customHeight="1">
      <c r="A693" s="2350"/>
      <c r="B693" s="2351"/>
      <c r="C693" s="2353"/>
      <c r="D693" s="2353"/>
      <c r="E693" s="2354" t="s">
        <v>638</v>
      </c>
      <c r="F693" s="2355">
        <f>SUM(G693:J693)</f>
        <v>0</v>
      </c>
      <c r="G693" s="2355"/>
      <c r="H693" s="2355"/>
      <c r="I693" s="2355"/>
      <c r="J693" s="2356"/>
    </row>
    <row r="694" spans="1:10" s="2333" customFormat="1" ht="15" hidden="1" customHeight="1">
      <c r="A694" s="2350"/>
      <c r="B694" s="2351"/>
      <c r="C694" s="2353"/>
      <c r="D694" s="2353"/>
      <c r="E694" s="2368">
        <v>6069</v>
      </c>
      <c r="F694" s="2355">
        <f>SUM(G694:J694)</f>
        <v>0</v>
      </c>
      <c r="G694" s="2355"/>
      <c r="H694" s="2355"/>
      <c r="I694" s="2355"/>
      <c r="J694" s="2356"/>
    </row>
    <row r="695" spans="1:10" s="2333" customFormat="1" ht="22.5">
      <c r="A695" s="3115" t="s">
        <v>1198</v>
      </c>
      <c r="B695" s="3116" t="s">
        <v>1199</v>
      </c>
      <c r="C695" s="3118" t="s">
        <v>4</v>
      </c>
      <c r="D695" s="3118" t="s">
        <v>712</v>
      </c>
      <c r="E695" s="2330" t="s">
        <v>1129</v>
      </c>
      <c r="F695" s="2331">
        <f>SUM(F696,F718)</f>
        <v>366261</v>
      </c>
      <c r="G695" s="2331">
        <f>SUM(G696,G718)</f>
        <v>36626</v>
      </c>
      <c r="H695" s="2331">
        <f>SUM(H696,H718)</f>
        <v>280190</v>
      </c>
      <c r="I695" s="2331">
        <f>SUM(I696,I718)</f>
        <v>49445</v>
      </c>
      <c r="J695" s="2332">
        <f>SUM(J696,J718)</f>
        <v>0</v>
      </c>
    </row>
    <row r="696" spans="1:10" s="2333" customFormat="1" ht="21">
      <c r="A696" s="3115"/>
      <c r="B696" s="3116"/>
      <c r="C696" s="3118"/>
      <c r="D696" s="3118"/>
      <c r="E696" s="2335" t="s">
        <v>1135</v>
      </c>
      <c r="F696" s="2336">
        <f>SUM(F697,F700,F711)</f>
        <v>366261</v>
      </c>
      <c r="G696" s="2336">
        <f>SUM(G697,G700,G711)</f>
        <v>36626</v>
      </c>
      <c r="H696" s="2336">
        <f>SUM(H697,H700,H711)</f>
        <v>280190</v>
      </c>
      <c r="I696" s="2336">
        <f>SUM(I697,I700,I711)</f>
        <v>49445</v>
      </c>
      <c r="J696" s="2337">
        <f>SUM(J697,J700,J711)</f>
        <v>0</v>
      </c>
    </row>
    <row r="697" spans="1:10" s="2333" customFormat="1" ht="22.5" hidden="1">
      <c r="A697" s="3115"/>
      <c r="B697" s="3116"/>
      <c r="C697" s="3118"/>
      <c r="D697" s="3118"/>
      <c r="E697" s="2347" t="s">
        <v>1200</v>
      </c>
      <c r="F697" s="2348">
        <f>SUM(F698:F699)</f>
        <v>0</v>
      </c>
      <c r="G697" s="2348">
        <f t="shared" ref="G697:J697" si="82">SUM(G698:G699)</f>
        <v>0</v>
      </c>
      <c r="H697" s="2348">
        <f t="shared" si="82"/>
        <v>0</v>
      </c>
      <c r="I697" s="2348">
        <f t="shared" si="82"/>
        <v>0</v>
      </c>
      <c r="J697" s="2349">
        <f t="shared" si="82"/>
        <v>0</v>
      </c>
    </row>
    <row r="698" spans="1:10" s="2333" customFormat="1" ht="15" hidden="1" customHeight="1">
      <c r="A698" s="3115"/>
      <c r="B698" s="3116"/>
      <c r="C698" s="3118"/>
      <c r="D698" s="3118"/>
      <c r="E698" s="2338" t="s">
        <v>537</v>
      </c>
      <c r="F698" s="2339">
        <f t="shared" ref="F698:F699" si="83">SUM(G698:J698)</f>
        <v>0</v>
      </c>
      <c r="G698" s="2339"/>
      <c r="H698" s="2339"/>
      <c r="I698" s="2339"/>
      <c r="J698" s="2340"/>
    </row>
    <row r="699" spans="1:10" s="2333" customFormat="1" ht="15" hidden="1" customHeight="1">
      <c r="A699" s="3115"/>
      <c r="B699" s="3116"/>
      <c r="C699" s="3118"/>
      <c r="D699" s="3118"/>
      <c r="E699" s="2338" t="s">
        <v>420</v>
      </c>
      <c r="F699" s="2339">
        <f t="shared" si="83"/>
        <v>0</v>
      </c>
      <c r="G699" s="2339"/>
      <c r="H699" s="2339"/>
      <c r="I699" s="2339"/>
      <c r="J699" s="2340"/>
    </row>
    <row r="700" spans="1:10" s="2333" customFormat="1" ht="22.5">
      <c r="A700" s="3115"/>
      <c r="B700" s="3116"/>
      <c r="C700" s="3118"/>
      <c r="D700" s="3118"/>
      <c r="E700" s="2347" t="s">
        <v>1136</v>
      </c>
      <c r="F700" s="2348">
        <f>SUM(F701:F710)</f>
        <v>53546</v>
      </c>
      <c r="G700" s="2348">
        <f>SUM(G701:G710)</f>
        <v>5352</v>
      </c>
      <c r="H700" s="2348">
        <f>SUM(H701:H710)</f>
        <v>40967</v>
      </c>
      <c r="I700" s="2348">
        <f>SUM(I701:I710)</f>
        <v>7227</v>
      </c>
      <c r="J700" s="2349">
        <f>SUM(J701:J710)</f>
        <v>0</v>
      </c>
    </row>
    <row r="701" spans="1:10" s="2333" customFormat="1" ht="14.1" customHeight="1">
      <c r="A701" s="3115"/>
      <c r="B701" s="3116"/>
      <c r="C701" s="3118"/>
      <c r="D701" s="3118"/>
      <c r="E701" s="2338" t="s">
        <v>540</v>
      </c>
      <c r="F701" s="2339">
        <f t="shared" ref="F701:F710" si="84">SUM(G701:J701)</f>
        <v>30219</v>
      </c>
      <c r="G701" s="2339"/>
      <c r="H701" s="2339">
        <v>30219</v>
      </c>
      <c r="I701" s="2339"/>
      <c r="J701" s="2340"/>
    </row>
    <row r="702" spans="1:10" s="2333" customFormat="1" ht="14.1" customHeight="1">
      <c r="A702" s="3115"/>
      <c r="B702" s="3116"/>
      <c r="C702" s="3118"/>
      <c r="D702" s="3118"/>
      <c r="E702" s="2338" t="s">
        <v>541</v>
      </c>
      <c r="F702" s="2339">
        <f t="shared" si="84"/>
        <v>9276</v>
      </c>
      <c r="G702" s="2339">
        <v>3946</v>
      </c>
      <c r="H702" s="2339"/>
      <c r="I702" s="2339">
        <v>5330</v>
      </c>
      <c r="J702" s="2340"/>
    </row>
    <row r="703" spans="1:10" s="2333" customFormat="1" ht="14.1" hidden="1" customHeight="1">
      <c r="A703" s="3115"/>
      <c r="B703" s="3116"/>
      <c r="C703" s="3118"/>
      <c r="D703" s="3118"/>
      <c r="E703" s="2338" t="s">
        <v>542</v>
      </c>
      <c r="F703" s="2339">
        <f t="shared" si="84"/>
        <v>0</v>
      </c>
      <c r="G703" s="2339"/>
      <c r="H703" s="2339"/>
      <c r="I703" s="2339"/>
      <c r="J703" s="2340"/>
    </row>
    <row r="704" spans="1:10" s="2333" customFormat="1" ht="14.1" hidden="1" customHeight="1">
      <c r="A704" s="3115"/>
      <c r="B704" s="3116"/>
      <c r="C704" s="3118"/>
      <c r="D704" s="3118"/>
      <c r="E704" s="2338" t="s">
        <v>543</v>
      </c>
      <c r="F704" s="2339">
        <f t="shared" si="84"/>
        <v>0</v>
      </c>
      <c r="G704" s="2339"/>
      <c r="H704" s="2339"/>
      <c r="I704" s="2339"/>
      <c r="J704" s="2340"/>
    </row>
    <row r="705" spans="1:10" s="2333" customFormat="1" ht="14.1" customHeight="1">
      <c r="A705" s="3115"/>
      <c r="B705" s="3116"/>
      <c r="C705" s="3118"/>
      <c r="D705" s="3118"/>
      <c r="E705" s="2338" t="s">
        <v>544</v>
      </c>
      <c r="F705" s="2339">
        <f t="shared" si="84"/>
        <v>5418</v>
      </c>
      <c r="G705" s="2339"/>
      <c r="H705" s="2339">
        <v>5418</v>
      </c>
      <c r="I705" s="2339"/>
      <c r="J705" s="2340"/>
    </row>
    <row r="706" spans="1:10" s="2333" customFormat="1" ht="14.1" customHeight="1">
      <c r="A706" s="3115"/>
      <c r="B706" s="3116"/>
      <c r="C706" s="3118"/>
      <c r="D706" s="3118"/>
      <c r="E706" s="2338" t="s">
        <v>545</v>
      </c>
      <c r="F706" s="2339">
        <f t="shared" si="84"/>
        <v>1665</v>
      </c>
      <c r="G706" s="2339">
        <v>709</v>
      </c>
      <c r="H706" s="2339"/>
      <c r="I706" s="2339">
        <v>956</v>
      </c>
      <c r="J706" s="2340"/>
    </row>
    <row r="707" spans="1:10" s="2333" customFormat="1" ht="14.1" customHeight="1">
      <c r="A707" s="3115"/>
      <c r="B707" s="3116"/>
      <c r="C707" s="3118"/>
      <c r="D707" s="3118"/>
      <c r="E707" s="2338" t="s">
        <v>546</v>
      </c>
      <c r="F707" s="2339">
        <f t="shared" si="84"/>
        <v>740</v>
      </c>
      <c r="G707" s="2339"/>
      <c r="H707" s="2339">
        <v>740</v>
      </c>
      <c r="I707" s="2339"/>
      <c r="J707" s="2340"/>
    </row>
    <row r="708" spans="1:10" s="2333" customFormat="1" ht="14.1" customHeight="1">
      <c r="A708" s="3115"/>
      <c r="B708" s="3116"/>
      <c r="C708" s="3118"/>
      <c r="D708" s="3118"/>
      <c r="E708" s="2338" t="s">
        <v>547</v>
      </c>
      <c r="F708" s="2339">
        <f t="shared" si="84"/>
        <v>228</v>
      </c>
      <c r="G708" s="2339">
        <v>97</v>
      </c>
      <c r="H708" s="2339"/>
      <c r="I708" s="2339">
        <v>131</v>
      </c>
      <c r="J708" s="2340"/>
    </row>
    <row r="709" spans="1:10" s="2333" customFormat="1" ht="14.1" customHeight="1">
      <c r="A709" s="3115"/>
      <c r="B709" s="3116"/>
      <c r="C709" s="3118"/>
      <c r="D709" s="3118"/>
      <c r="E709" s="2338" t="s">
        <v>548</v>
      </c>
      <c r="F709" s="2339">
        <f t="shared" si="84"/>
        <v>4590</v>
      </c>
      <c r="G709" s="2339"/>
      <c r="H709" s="2339">
        <v>4590</v>
      </c>
      <c r="I709" s="2339"/>
      <c r="J709" s="2340"/>
    </row>
    <row r="710" spans="1:10" s="2333" customFormat="1" ht="14.1" customHeight="1">
      <c r="A710" s="3115"/>
      <c r="B710" s="3116"/>
      <c r="C710" s="3118"/>
      <c r="D710" s="3118"/>
      <c r="E710" s="2338" t="s">
        <v>549</v>
      </c>
      <c r="F710" s="2339">
        <f t="shared" si="84"/>
        <v>1410</v>
      </c>
      <c r="G710" s="2339">
        <v>600</v>
      </c>
      <c r="H710" s="2339"/>
      <c r="I710" s="2339">
        <v>810</v>
      </c>
      <c r="J710" s="2340"/>
    </row>
    <row r="711" spans="1:10" s="2333" customFormat="1" ht="22.5">
      <c r="A711" s="3115"/>
      <c r="B711" s="3116"/>
      <c r="C711" s="3118"/>
      <c r="D711" s="3118"/>
      <c r="E711" s="2347" t="s">
        <v>1137</v>
      </c>
      <c r="F711" s="2348">
        <f>SUM(F712:F717)</f>
        <v>312715</v>
      </c>
      <c r="G711" s="2348">
        <f>SUM(G712:G717)</f>
        <v>31274</v>
      </c>
      <c r="H711" s="2348">
        <f>SUM(H712:H717)</f>
        <v>239223</v>
      </c>
      <c r="I711" s="2348">
        <f>SUM(I712:I717)</f>
        <v>42218</v>
      </c>
      <c r="J711" s="2349">
        <f>SUM(J712:J717)</f>
        <v>0</v>
      </c>
    </row>
    <row r="712" spans="1:10" s="2333" customFormat="1" ht="14.1" customHeight="1">
      <c r="A712" s="3115"/>
      <c r="B712" s="3116"/>
      <c r="C712" s="3118"/>
      <c r="D712" s="3118"/>
      <c r="E712" s="2338" t="s">
        <v>557</v>
      </c>
      <c r="F712" s="2339">
        <f t="shared" ref="F712:F717" si="85">SUM(G712:J712)</f>
        <v>235360</v>
      </c>
      <c r="G712" s="2339"/>
      <c r="H712" s="2339">
        <v>235360</v>
      </c>
      <c r="I712" s="2339"/>
      <c r="J712" s="2340"/>
    </row>
    <row r="713" spans="1:10" s="2333" customFormat="1" ht="14.1" customHeight="1">
      <c r="A713" s="3115"/>
      <c r="B713" s="3116"/>
      <c r="C713" s="3118"/>
      <c r="D713" s="3118"/>
      <c r="E713" s="2338" t="s">
        <v>558</v>
      </c>
      <c r="F713" s="2339">
        <f t="shared" si="85"/>
        <v>72305</v>
      </c>
      <c r="G713" s="2339">
        <v>30769</v>
      </c>
      <c r="H713" s="2339"/>
      <c r="I713" s="2339">
        <v>41536</v>
      </c>
      <c r="J713" s="2340"/>
    </row>
    <row r="714" spans="1:10" s="2333" customFormat="1" ht="14.1" customHeight="1">
      <c r="A714" s="3115"/>
      <c r="B714" s="3116"/>
      <c r="C714" s="3118"/>
      <c r="D714" s="3118"/>
      <c r="E714" s="2338" t="s">
        <v>561</v>
      </c>
      <c r="F714" s="2339">
        <f t="shared" si="85"/>
        <v>1932</v>
      </c>
      <c r="G714" s="2339"/>
      <c r="H714" s="2339">
        <v>1932</v>
      </c>
      <c r="I714" s="2339"/>
      <c r="J714" s="2340"/>
    </row>
    <row r="715" spans="1:10" s="2333" customFormat="1" ht="14.1" customHeight="1">
      <c r="A715" s="3115"/>
      <c r="B715" s="3116"/>
      <c r="C715" s="3118"/>
      <c r="D715" s="3118"/>
      <c r="E715" s="2338" t="s">
        <v>562</v>
      </c>
      <c r="F715" s="2339">
        <f t="shared" si="85"/>
        <v>594</v>
      </c>
      <c r="G715" s="2339">
        <v>253</v>
      </c>
      <c r="H715" s="2339"/>
      <c r="I715" s="2339">
        <v>341</v>
      </c>
      <c r="J715" s="2340"/>
    </row>
    <row r="716" spans="1:10" s="2333" customFormat="1" ht="14.1" customHeight="1">
      <c r="A716" s="3115"/>
      <c r="B716" s="3116"/>
      <c r="C716" s="3118"/>
      <c r="D716" s="3118"/>
      <c r="E716" s="2338" t="s">
        <v>565</v>
      </c>
      <c r="F716" s="2339">
        <f t="shared" si="85"/>
        <v>1931</v>
      </c>
      <c r="G716" s="2339"/>
      <c r="H716" s="2339">
        <v>1931</v>
      </c>
      <c r="I716" s="2339"/>
      <c r="J716" s="2340"/>
    </row>
    <row r="717" spans="1:10" s="2333" customFormat="1" ht="14.1" customHeight="1">
      <c r="A717" s="3115"/>
      <c r="B717" s="3116"/>
      <c r="C717" s="3118"/>
      <c r="D717" s="3118"/>
      <c r="E717" s="2338" t="s">
        <v>566</v>
      </c>
      <c r="F717" s="2339">
        <f t="shared" si="85"/>
        <v>593</v>
      </c>
      <c r="G717" s="2339">
        <v>252</v>
      </c>
      <c r="H717" s="2339"/>
      <c r="I717" s="2339">
        <v>341</v>
      </c>
      <c r="J717" s="2340"/>
    </row>
    <row r="718" spans="1:10" s="2333" customFormat="1" ht="15" customHeight="1">
      <c r="A718" s="3115"/>
      <c r="B718" s="3116"/>
      <c r="C718" s="3118"/>
      <c r="D718" s="3118"/>
      <c r="E718" s="2341" t="s">
        <v>1130</v>
      </c>
      <c r="F718" s="2336">
        <f>SUM(F719:F720)</f>
        <v>0</v>
      </c>
      <c r="G718" s="2336">
        <f>SUM(G719:G720)</f>
        <v>0</v>
      </c>
      <c r="H718" s="2336">
        <f>SUM(H719:H720)</f>
        <v>0</v>
      </c>
      <c r="I718" s="2336">
        <f>SUM(I719:I720)</f>
        <v>0</v>
      </c>
      <c r="J718" s="2337">
        <f>SUM(J719:J720)</f>
        <v>0</v>
      </c>
    </row>
    <row r="719" spans="1:10" s="2333" customFormat="1" ht="15" hidden="1" customHeight="1">
      <c r="A719" s="3115"/>
      <c r="B719" s="3116"/>
      <c r="C719" s="3118"/>
      <c r="D719" s="3118"/>
      <c r="E719" s="2338" t="s">
        <v>638</v>
      </c>
      <c r="F719" s="2339">
        <f>SUM(G719:J719)</f>
        <v>0</v>
      </c>
      <c r="G719" s="2339"/>
      <c r="H719" s="2339"/>
      <c r="I719" s="2339"/>
      <c r="J719" s="2340"/>
    </row>
    <row r="720" spans="1:10" s="2333" customFormat="1" ht="15" hidden="1" customHeight="1">
      <c r="A720" s="3115"/>
      <c r="B720" s="3116"/>
      <c r="C720" s="3118"/>
      <c r="D720" s="3118"/>
      <c r="E720" s="2344">
        <v>6069</v>
      </c>
      <c r="F720" s="2339">
        <f>SUM(G720:J720)</f>
        <v>0</v>
      </c>
      <c r="G720" s="2339"/>
      <c r="H720" s="2339"/>
      <c r="I720" s="2339"/>
      <c r="J720" s="2340"/>
    </row>
    <row r="721" spans="1:11" s="2333" customFormat="1" ht="22.5" customHeight="1">
      <c r="A721" s="3130" t="s">
        <v>1201</v>
      </c>
      <c r="B721" s="3133" t="s">
        <v>1202</v>
      </c>
      <c r="C721" s="3139" t="s">
        <v>114</v>
      </c>
      <c r="D721" s="3139" t="s">
        <v>652</v>
      </c>
      <c r="E721" s="2330" t="s">
        <v>1129</v>
      </c>
      <c r="F721" s="2331">
        <f>SUM(F722,F742)</f>
        <v>1147622</v>
      </c>
      <c r="G721" s="2331">
        <f>SUM(G722,G742)</f>
        <v>1147622</v>
      </c>
      <c r="H721" s="2331">
        <f>SUM(H722,H742)</f>
        <v>0</v>
      </c>
      <c r="I721" s="2331">
        <f>SUM(I722,I742)</f>
        <v>0</v>
      </c>
      <c r="J721" s="2332">
        <f>SUM(J722,J742)</f>
        <v>0</v>
      </c>
      <c r="K721" s="2369"/>
    </row>
    <row r="722" spans="1:11" s="2333" customFormat="1" ht="21">
      <c r="A722" s="3131"/>
      <c r="B722" s="3134"/>
      <c r="C722" s="3140"/>
      <c r="D722" s="3140"/>
      <c r="E722" s="2335" t="s">
        <v>1135</v>
      </c>
      <c r="F722" s="2336">
        <f>SUM(F723,F726,F733)</f>
        <v>1147622</v>
      </c>
      <c r="G722" s="2336">
        <f>SUM(G723,G726,G733)</f>
        <v>1147622</v>
      </c>
      <c r="H722" s="2336">
        <f>SUM(H723,H726,H733)</f>
        <v>0</v>
      </c>
      <c r="I722" s="2336">
        <f>SUM(I723,I726,I733)</f>
        <v>0</v>
      </c>
      <c r="J722" s="2337">
        <f>SUM(J723,J726,J733)</f>
        <v>0</v>
      </c>
      <c r="K722" s="2369"/>
    </row>
    <row r="723" spans="1:11" s="2333" customFormat="1" ht="12">
      <c r="A723" s="3131"/>
      <c r="B723" s="3134"/>
      <c r="C723" s="3140"/>
      <c r="D723" s="3140"/>
      <c r="E723" s="2347" t="s">
        <v>1150</v>
      </c>
      <c r="F723" s="2348">
        <f>SUM(F724:F725)</f>
        <v>860038</v>
      </c>
      <c r="G723" s="2348">
        <f t="shared" ref="G723:J723" si="86">SUM(G724:G725)</f>
        <v>860038</v>
      </c>
      <c r="H723" s="2348">
        <f t="shared" si="86"/>
        <v>0</v>
      </c>
      <c r="I723" s="2348">
        <f t="shared" si="86"/>
        <v>0</v>
      </c>
      <c r="J723" s="2349">
        <f t="shared" si="86"/>
        <v>0</v>
      </c>
      <c r="K723" s="2369"/>
    </row>
    <row r="724" spans="1:11" s="2333" customFormat="1" ht="15" customHeight="1">
      <c r="A724" s="3131"/>
      <c r="B724" s="3134"/>
      <c r="C724" s="3140"/>
      <c r="D724" s="3140"/>
      <c r="E724" s="2338" t="s">
        <v>1036</v>
      </c>
      <c r="F724" s="2339">
        <f t="shared" ref="F724:F725" si="87">SUM(G724:J724)</f>
        <v>860038</v>
      </c>
      <c r="G724" s="2339">
        <v>860038</v>
      </c>
      <c r="H724" s="2339"/>
      <c r="I724" s="2339"/>
      <c r="J724" s="2340"/>
      <c r="K724" s="2369"/>
    </row>
    <row r="725" spans="1:11" s="2333" customFormat="1" ht="15" hidden="1" customHeight="1">
      <c r="A725" s="3131"/>
      <c r="B725" s="3134"/>
      <c r="C725" s="3140"/>
      <c r="D725" s="3140"/>
      <c r="E725" s="2338" t="s">
        <v>420</v>
      </c>
      <c r="F725" s="2339">
        <f t="shared" si="87"/>
        <v>0</v>
      </c>
      <c r="G725" s="2339"/>
      <c r="H725" s="2339"/>
      <c r="I725" s="2339"/>
      <c r="J725" s="2340"/>
      <c r="K725" s="2369"/>
    </row>
    <row r="726" spans="1:11" s="2333" customFormat="1" ht="22.5">
      <c r="A726" s="3131"/>
      <c r="B726" s="3134"/>
      <c r="C726" s="3140"/>
      <c r="D726" s="3140"/>
      <c r="E726" s="2347" t="s">
        <v>1136</v>
      </c>
      <c r="F726" s="2348">
        <f>SUM(F727:F732)</f>
        <v>108360</v>
      </c>
      <c r="G726" s="2348">
        <f>SUM(G727:G732)</f>
        <v>108360</v>
      </c>
      <c r="H726" s="2348">
        <f>SUM(H727:H732)</f>
        <v>0</v>
      </c>
      <c r="I726" s="2348">
        <f>SUM(I727:I732)</f>
        <v>0</v>
      </c>
      <c r="J726" s="2349">
        <f>SUM(J727:J732)</f>
        <v>0</v>
      </c>
      <c r="K726" s="2369"/>
    </row>
    <row r="727" spans="1:11" s="2333" customFormat="1" ht="14.1" customHeight="1">
      <c r="A727" s="3131"/>
      <c r="B727" s="3134"/>
      <c r="C727" s="3140"/>
      <c r="D727" s="3140"/>
      <c r="E727" s="2338" t="s">
        <v>1037</v>
      </c>
      <c r="F727" s="2339">
        <f t="shared" ref="F727:F732" si="88">SUM(G727:J727)</f>
        <v>76986</v>
      </c>
      <c r="G727" s="2339">
        <v>76986</v>
      </c>
      <c r="H727" s="2339"/>
      <c r="I727" s="2339"/>
      <c r="J727" s="2340"/>
      <c r="K727" s="2370"/>
    </row>
    <row r="728" spans="1:11" s="2333" customFormat="1" ht="14.1" customHeight="1">
      <c r="A728" s="3131"/>
      <c r="B728" s="3134"/>
      <c r="C728" s="3140"/>
      <c r="D728" s="3140"/>
      <c r="E728" s="2338" t="s">
        <v>1038</v>
      </c>
      <c r="F728" s="2339">
        <f t="shared" si="88"/>
        <v>13586</v>
      </c>
      <c r="G728" s="2339">
        <v>13586</v>
      </c>
      <c r="H728" s="2339"/>
      <c r="I728" s="2339"/>
      <c r="J728" s="2340"/>
      <c r="K728" s="2370"/>
    </row>
    <row r="729" spans="1:11" s="2333" customFormat="1" ht="14.1" customHeight="1">
      <c r="A729" s="3131"/>
      <c r="B729" s="3134"/>
      <c r="C729" s="3140"/>
      <c r="D729" s="3140"/>
      <c r="E729" s="2338" t="s">
        <v>1039</v>
      </c>
      <c r="F729" s="2339">
        <f t="shared" si="88"/>
        <v>13234</v>
      </c>
      <c r="G729" s="2339">
        <v>13234</v>
      </c>
      <c r="H729" s="2339"/>
      <c r="I729" s="2339"/>
      <c r="J729" s="2340"/>
      <c r="K729" s="2371"/>
    </row>
    <row r="730" spans="1:11" s="2333" customFormat="1" ht="14.1" customHeight="1">
      <c r="A730" s="3131"/>
      <c r="B730" s="3134"/>
      <c r="C730" s="3140"/>
      <c r="D730" s="3140"/>
      <c r="E730" s="2338" t="s">
        <v>1040</v>
      </c>
      <c r="F730" s="2339">
        <f t="shared" si="88"/>
        <v>2335</v>
      </c>
      <c r="G730" s="2339">
        <v>2335</v>
      </c>
      <c r="H730" s="2339"/>
      <c r="I730" s="2339"/>
      <c r="J730" s="2340"/>
      <c r="K730" s="2369"/>
    </row>
    <row r="731" spans="1:11" s="2333" customFormat="1" ht="14.1" customHeight="1">
      <c r="A731" s="3131"/>
      <c r="B731" s="3134"/>
      <c r="C731" s="3140"/>
      <c r="D731" s="3140"/>
      <c r="E731" s="2338" t="s">
        <v>1041</v>
      </c>
      <c r="F731" s="2339">
        <f t="shared" si="88"/>
        <v>1886</v>
      </c>
      <c r="G731" s="2339">
        <v>1886</v>
      </c>
      <c r="H731" s="2339"/>
      <c r="I731" s="2339"/>
      <c r="J731" s="2340"/>
      <c r="K731" s="2369"/>
    </row>
    <row r="732" spans="1:11" s="2333" customFormat="1" ht="14.1" customHeight="1">
      <c r="A732" s="3131"/>
      <c r="B732" s="3134"/>
      <c r="C732" s="3140"/>
      <c r="D732" s="3140"/>
      <c r="E732" s="2338" t="s">
        <v>1042</v>
      </c>
      <c r="F732" s="2339">
        <f t="shared" si="88"/>
        <v>333</v>
      </c>
      <c r="G732" s="2339">
        <v>333</v>
      </c>
      <c r="H732" s="2339"/>
      <c r="I732" s="2339"/>
      <c r="J732" s="2340"/>
      <c r="K732" s="2369"/>
    </row>
    <row r="733" spans="1:11" s="2333" customFormat="1" ht="22.5">
      <c r="A733" s="3131"/>
      <c r="B733" s="3134"/>
      <c r="C733" s="3140"/>
      <c r="D733" s="3140"/>
      <c r="E733" s="2347" t="s">
        <v>1137</v>
      </c>
      <c r="F733" s="2348">
        <f>SUM(F734:F741)</f>
        <v>179224</v>
      </c>
      <c r="G733" s="2348">
        <f>SUM(G734:G741)</f>
        <v>179224</v>
      </c>
      <c r="H733" s="2348">
        <f>SUM(H734:H741)</f>
        <v>0</v>
      </c>
      <c r="I733" s="2348">
        <f>SUM(I734:I741)</f>
        <v>0</v>
      </c>
      <c r="J733" s="2349">
        <f>SUM(J734:J741)</f>
        <v>0</v>
      </c>
      <c r="K733" s="2369"/>
    </row>
    <row r="734" spans="1:11" s="2333" customFormat="1" ht="14.1" customHeight="1">
      <c r="A734" s="3131"/>
      <c r="B734" s="3134"/>
      <c r="C734" s="3140"/>
      <c r="D734" s="3140"/>
      <c r="E734" s="2338" t="s">
        <v>1043</v>
      </c>
      <c r="F734" s="2339">
        <f t="shared" ref="F734:F741" si="89">SUM(G734:J734)</f>
        <v>25402</v>
      </c>
      <c r="G734" s="2339">
        <v>25402</v>
      </c>
      <c r="H734" s="2339"/>
      <c r="I734" s="2339"/>
      <c r="J734" s="2340"/>
      <c r="K734" s="2369"/>
    </row>
    <row r="735" spans="1:11" s="2333" customFormat="1" ht="14.1" customHeight="1">
      <c r="A735" s="3131"/>
      <c r="B735" s="3134"/>
      <c r="C735" s="3140"/>
      <c r="D735" s="3140"/>
      <c r="E735" s="2338" t="s">
        <v>1044</v>
      </c>
      <c r="F735" s="2339">
        <f t="shared" si="89"/>
        <v>4483</v>
      </c>
      <c r="G735" s="2339">
        <v>4483</v>
      </c>
      <c r="H735" s="2339"/>
      <c r="I735" s="2339"/>
      <c r="J735" s="2340"/>
      <c r="K735" s="2369"/>
    </row>
    <row r="736" spans="1:11" s="2333" customFormat="1" ht="14.1" customHeight="1">
      <c r="A736" s="3131"/>
      <c r="B736" s="3134"/>
      <c r="C736" s="3140"/>
      <c r="D736" s="3140"/>
      <c r="E736" s="2338" t="s">
        <v>1045</v>
      </c>
      <c r="F736" s="2339">
        <f t="shared" si="89"/>
        <v>99416</v>
      </c>
      <c r="G736" s="2339">
        <v>99416</v>
      </c>
      <c r="H736" s="2339"/>
      <c r="I736" s="2339"/>
      <c r="J736" s="2340"/>
      <c r="K736" s="2369"/>
    </row>
    <row r="737" spans="1:11" s="2333" customFormat="1" ht="14.1" customHeight="1">
      <c r="A737" s="3131"/>
      <c r="B737" s="3134"/>
      <c r="C737" s="3140"/>
      <c r="D737" s="3140"/>
      <c r="E737" s="2338" t="s">
        <v>1046</v>
      </c>
      <c r="F737" s="2339">
        <f t="shared" si="89"/>
        <v>17544</v>
      </c>
      <c r="G737" s="2339">
        <v>17544</v>
      </c>
      <c r="H737" s="2339"/>
      <c r="I737" s="2339"/>
      <c r="J737" s="2340"/>
      <c r="K737" s="2369"/>
    </row>
    <row r="738" spans="1:11" s="2333" customFormat="1" ht="14.1" customHeight="1">
      <c r="A738" s="3131"/>
      <c r="B738" s="3134"/>
      <c r="C738" s="3140"/>
      <c r="D738" s="3140"/>
      <c r="E738" s="2338" t="s">
        <v>1047</v>
      </c>
      <c r="F738" s="2339">
        <f t="shared" si="89"/>
        <v>7675</v>
      </c>
      <c r="G738" s="2339">
        <v>7675</v>
      </c>
      <c r="H738" s="2339"/>
      <c r="I738" s="2339"/>
      <c r="J738" s="2340"/>
      <c r="K738" s="2369"/>
    </row>
    <row r="739" spans="1:11" s="2333" customFormat="1" ht="14.1" customHeight="1">
      <c r="A739" s="3131"/>
      <c r="B739" s="3134"/>
      <c r="C739" s="3140"/>
      <c r="D739" s="3140"/>
      <c r="E739" s="2338" t="s">
        <v>1048</v>
      </c>
      <c r="F739" s="2339">
        <f t="shared" si="89"/>
        <v>1355</v>
      </c>
      <c r="G739" s="2339">
        <v>1355</v>
      </c>
      <c r="H739" s="2339"/>
      <c r="I739" s="2339"/>
      <c r="J739" s="2340"/>
      <c r="K739" s="2369"/>
    </row>
    <row r="740" spans="1:11" s="2333" customFormat="1" ht="14.1" customHeight="1">
      <c r="A740" s="3131"/>
      <c r="B740" s="3134"/>
      <c r="C740" s="3140"/>
      <c r="D740" s="3140"/>
      <c r="E740" s="2338" t="s">
        <v>1049</v>
      </c>
      <c r="F740" s="2339">
        <f t="shared" si="89"/>
        <v>19847</v>
      </c>
      <c r="G740" s="2339">
        <v>19847</v>
      </c>
      <c r="H740" s="2339"/>
      <c r="I740" s="2339"/>
      <c r="J740" s="2340"/>
      <c r="K740" s="2369"/>
    </row>
    <row r="741" spans="1:11" s="2333" customFormat="1" ht="14.1" customHeight="1">
      <c r="A741" s="3131"/>
      <c r="B741" s="3134"/>
      <c r="C741" s="3140"/>
      <c r="D741" s="3140"/>
      <c r="E741" s="2338" t="s">
        <v>1050</v>
      </c>
      <c r="F741" s="2339">
        <f t="shared" si="89"/>
        <v>3502</v>
      </c>
      <c r="G741" s="2339">
        <v>3502</v>
      </c>
      <c r="H741" s="2339"/>
      <c r="I741" s="2339"/>
      <c r="J741" s="2340"/>
      <c r="K741" s="2369"/>
    </row>
    <row r="742" spans="1:11" s="2333" customFormat="1" ht="15" customHeight="1">
      <c r="A742" s="3132"/>
      <c r="B742" s="3135"/>
      <c r="C742" s="3141"/>
      <c r="D742" s="3141"/>
      <c r="E742" s="2341" t="s">
        <v>1130</v>
      </c>
      <c r="F742" s="2336">
        <f>SUM(F743:F744)</f>
        <v>0</v>
      </c>
      <c r="G742" s="2336">
        <f>SUM(G743:G744)</f>
        <v>0</v>
      </c>
      <c r="H742" s="2336">
        <f>SUM(H743:H744)</f>
        <v>0</v>
      </c>
      <c r="I742" s="2336">
        <f>SUM(I743:I744)</f>
        <v>0</v>
      </c>
      <c r="J742" s="2337">
        <f>SUM(J743:J744)</f>
        <v>0</v>
      </c>
      <c r="K742" s="2369"/>
    </row>
    <row r="743" spans="1:11" s="2333" customFormat="1" ht="15" hidden="1" customHeight="1">
      <c r="A743" s="2345"/>
      <c r="B743" s="2346"/>
      <c r="C743" s="2373"/>
      <c r="D743" s="2373"/>
      <c r="E743" s="2338" t="s">
        <v>638</v>
      </c>
      <c r="F743" s="2339">
        <f>SUM(G743:J743)</f>
        <v>0</v>
      </c>
      <c r="G743" s="2339"/>
      <c r="H743" s="2339"/>
      <c r="I743" s="2339"/>
      <c r="J743" s="2340"/>
      <c r="K743" s="2369"/>
    </row>
    <row r="744" spans="1:11" s="2333" customFormat="1" ht="15" hidden="1" customHeight="1">
      <c r="A744" s="2345"/>
      <c r="B744" s="2346"/>
      <c r="C744" s="2373"/>
      <c r="D744" s="2373"/>
      <c r="E744" s="2344">
        <v>6069</v>
      </c>
      <c r="F744" s="2339">
        <f>SUM(G744:J744)</f>
        <v>0</v>
      </c>
      <c r="G744" s="2339"/>
      <c r="H744" s="2339"/>
      <c r="I744" s="2339"/>
      <c r="J744" s="2340"/>
      <c r="K744" s="2369"/>
    </row>
    <row r="745" spans="1:11" s="2369" customFormat="1" ht="30" customHeight="1">
      <c r="A745" s="2326" t="s">
        <v>1203</v>
      </c>
      <c r="B745" s="3126" t="s">
        <v>1204</v>
      </c>
      <c r="C745" s="3126"/>
      <c r="D745" s="3126"/>
      <c r="E745" s="3126"/>
      <c r="F745" s="2380">
        <f>F747+F762+F777+F792+F807+F822+F837+F852+F867+F882+F898</f>
        <v>183280450</v>
      </c>
      <c r="G745" s="2380">
        <f t="shared" ref="G745:J745" si="90">G747+G762+G777+G792+G807+G822+G837+G852+G867+G882+G898</f>
        <v>45466538</v>
      </c>
      <c r="H745" s="2380">
        <f t="shared" si="90"/>
        <v>135663912</v>
      </c>
      <c r="I745" s="2380">
        <f t="shared" si="90"/>
        <v>0</v>
      </c>
      <c r="J745" s="2381">
        <f t="shared" si="90"/>
        <v>2150000</v>
      </c>
    </row>
    <row r="746" spans="1:11" s="2333" customFormat="1" ht="15" customHeight="1">
      <c r="A746" s="3127"/>
      <c r="B746" s="3128"/>
      <c r="C746" s="3128"/>
      <c r="D746" s="3128"/>
      <c r="E746" s="3128"/>
      <c r="F746" s="3128"/>
      <c r="G746" s="3128"/>
      <c r="H746" s="3128"/>
      <c r="I746" s="3128"/>
      <c r="J746" s="3129"/>
    </row>
    <row r="747" spans="1:11" s="2333" customFormat="1" ht="22.5" hidden="1">
      <c r="A747" s="3122"/>
      <c r="B747" s="3123" t="s">
        <v>1205</v>
      </c>
      <c r="C747" s="3124">
        <v>600</v>
      </c>
      <c r="D747" s="3125" t="s">
        <v>629</v>
      </c>
      <c r="E747" s="2358" t="s">
        <v>1129</v>
      </c>
      <c r="F747" s="2359">
        <f>SUM(F748,F755)</f>
        <v>0</v>
      </c>
      <c r="G747" s="2359">
        <f>SUM(G748,G755)</f>
        <v>0</v>
      </c>
      <c r="H747" s="2359">
        <f>SUM(H748,H755)</f>
        <v>0</v>
      </c>
      <c r="I747" s="2359">
        <f>SUM(I748,I755)</f>
        <v>0</v>
      </c>
      <c r="J747" s="2360">
        <f>SUM(J748,J755)</f>
        <v>0</v>
      </c>
    </row>
    <row r="748" spans="1:11" s="2333" customFormat="1" ht="15" hidden="1" customHeight="1">
      <c r="A748" s="3122"/>
      <c r="B748" s="3123"/>
      <c r="C748" s="3124"/>
      <c r="D748" s="3125"/>
      <c r="E748" s="2361" t="s">
        <v>685</v>
      </c>
      <c r="F748" s="2362">
        <f>SUM(F749,F752)</f>
        <v>0</v>
      </c>
      <c r="G748" s="2362">
        <f>SUM(G749,G752)</f>
        <v>0</v>
      </c>
      <c r="H748" s="2362">
        <f>SUM(H749,H752)</f>
        <v>0</v>
      </c>
      <c r="I748" s="2362">
        <f>SUM(I749,I752)</f>
        <v>0</v>
      </c>
      <c r="J748" s="2363">
        <f>SUM(J749,J752)</f>
        <v>0</v>
      </c>
    </row>
    <row r="749" spans="1:11" s="2333" customFormat="1" ht="22.5" hidden="1">
      <c r="A749" s="3122"/>
      <c r="B749" s="3123"/>
      <c r="C749" s="3124"/>
      <c r="D749" s="3125"/>
      <c r="E749" s="2364" t="s">
        <v>1136</v>
      </c>
      <c r="F749" s="2365">
        <f>SUM(F750:F751)</f>
        <v>0</v>
      </c>
      <c r="G749" s="2365">
        <f>SUM(G750:G751)</f>
        <v>0</v>
      </c>
      <c r="H749" s="2365">
        <f>SUM(H750:H751)</f>
        <v>0</v>
      </c>
      <c r="I749" s="2365">
        <f>SUM(I750:I751)</f>
        <v>0</v>
      </c>
      <c r="J749" s="2366">
        <f>SUM(J750:J751)</f>
        <v>0</v>
      </c>
    </row>
    <row r="750" spans="1:11" s="2333" customFormat="1" ht="15" hidden="1" customHeight="1">
      <c r="A750" s="3122"/>
      <c r="B750" s="3123"/>
      <c r="C750" s="3124"/>
      <c r="D750" s="3125"/>
      <c r="E750" s="2354"/>
      <c r="F750" s="2355">
        <f>SUM(G750:J750)</f>
        <v>0</v>
      </c>
      <c r="G750" s="2355"/>
      <c r="H750" s="2355"/>
      <c r="I750" s="2355"/>
      <c r="J750" s="2356"/>
    </row>
    <row r="751" spans="1:11" s="2333" customFormat="1" ht="15" hidden="1" customHeight="1">
      <c r="A751" s="3122"/>
      <c r="B751" s="3123"/>
      <c r="C751" s="3124"/>
      <c r="D751" s="3125"/>
      <c r="E751" s="2354"/>
      <c r="F751" s="2355">
        <f>SUM(G751:J751)</f>
        <v>0</v>
      </c>
      <c r="G751" s="2355"/>
      <c r="H751" s="2355"/>
      <c r="I751" s="2355"/>
      <c r="J751" s="2356"/>
    </row>
    <row r="752" spans="1:11" s="2333" customFormat="1" ht="22.5" hidden="1">
      <c r="A752" s="3122"/>
      <c r="B752" s="3123"/>
      <c r="C752" s="3124"/>
      <c r="D752" s="3125"/>
      <c r="E752" s="2364" t="s">
        <v>1137</v>
      </c>
      <c r="F752" s="2365">
        <f>SUM(F753:F754)</f>
        <v>0</v>
      </c>
      <c r="G752" s="2365">
        <f>SUM(G753:G754)</f>
        <v>0</v>
      </c>
      <c r="H752" s="2365">
        <f>SUM(H753:H754)</f>
        <v>0</v>
      </c>
      <c r="I752" s="2365">
        <f>SUM(I753:I754)</f>
        <v>0</v>
      </c>
      <c r="J752" s="2366">
        <f>SUM(J753:J754)</f>
        <v>0</v>
      </c>
    </row>
    <row r="753" spans="1:10" s="2333" customFormat="1" ht="15" hidden="1" customHeight="1">
      <c r="A753" s="3122"/>
      <c r="B753" s="3123"/>
      <c r="C753" s="3124"/>
      <c r="D753" s="3125"/>
      <c r="E753" s="2354"/>
      <c r="F753" s="2355">
        <f>SUM(G753:J753)</f>
        <v>0</v>
      </c>
      <c r="G753" s="2355"/>
      <c r="H753" s="2355"/>
      <c r="I753" s="2355"/>
      <c r="J753" s="2356"/>
    </row>
    <row r="754" spans="1:10" s="2333" customFormat="1" ht="15" hidden="1" customHeight="1">
      <c r="A754" s="3122"/>
      <c r="B754" s="3123"/>
      <c r="C754" s="3124"/>
      <c r="D754" s="3125"/>
      <c r="E754" s="2354"/>
      <c r="F754" s="2355">
        <f>SUM(G754:J754)</f>
        <v>0</v>
      </c>
      <c r="G754" s="2355"/>
      <c r="H754" s="2355"/>
      <c r="I754" s="2355"/>
      <c r="J754" s="2356"/>
    </row>
    <row r="755" spans="1:10" s="2333" customFormat="1" ht="15" hidden="1" customHeight="1">
      <c r="A755" s="3122"/>
      <c r="B755" s="3123"/>
      <c r="C755" s="3124"/>
      <c r="D755" s="3125"/>
      <c r="E755" s="2367" t="s">
        <v>1130</v>
      </c>
      <c r="F755" s="2362">
        <f>SUM(F756:F761)</f>
        <v>0</v>
      </c>
      <c r="G755" s="2362">
        <f>SUM(G756:G761)</f>
        <v>0</v>
      </c>
      <c r="H755" s="2362">
        <f>SUM(H756:H761)</f>
        <v>0</v>
      </c>
      <c r="I755" s="2362">
        <f>SUM(I756:I761)</f>
        <v>0</v>
      </c>
      <c r="J755" s="2363">
        <f>SUM(J756:J761)</f>
        <v>0</v>
      </c>
    </row>
    <row r="756" spans="1:10" s="2333" customFormat="1" ht="15" hidden="1" customHeight="1">
      <c r="A756" s="3122"/>
      <c r="B756" s="3123"/>
      <c r="C756" s="3124"/>
      <c r="D756" s="3125"/>
      <c r="E756" s="2354" t="s">
        <v>531</v>
      </c>
      <c r="F756" s="2355">
        <f>SUM(G756:J756)</f>
        <v>0</v>
      </c>
      <c r="G756" s="2355"/>
      <c r="H756" s="2355"/>
      <c r="I756" s="2355"/>
      <c r="J756" s="2356"/>
    </row>
    <row r="757" spans="1:10" s="2333" customFormat="1" ht="15" hidden="1" customHeight="1">
      <c r="A757" s="3122"/>
      <c r="B757" s="3123"/>
      <c r="C757" s="3124"/>
      <c r="D757" s="3125"/>
      <c r="E757" s="2354" t="s">
        <v>625</v>
      </c>
      <c r="F757" s="2355">
        <f>SUM(G757:J757)</f>
        <v>0</v>
      </c>
      <c r="G757" s="2355"/>
      <c r="H757" s="2355"/>
      <c r="I757" s="2355"/>
      <c r="J757" s="2356"/>
    </row>
    <row r="758" spans="1:10" s="2333" customFormat="1" ht="15" hidden="1" customHeight="1">
      <c r="A758" s="3122"/>
      <c r="B758" s="3123"/>
      <c r="C758" s="3124"/>
      <c r="D758" s="3125"/>
      <c r="E758" s="2368">
        <v>6059</v>
      </c>
      <c r="F758" s="2355">
        <f t="shared" ref="F758:F761" si="91">SUM(G758:J758)</f>
        <v>0</v>
      </c>
      <c r="G758" s="2355"/>
      <c r="H758" s="2355"/>
      <c r="I758" s="2355"/>
      <c r="J758" s="2356"/>
    </row>
    <row r="759" spans="1:10" s="2333" customFormat="1" ht="15" hidden="1" customHeight="1">
      <c r="A759" s="3122"/>
      <c r="B759" s="3123"/>
      <c r="C759" s="3124"/>
      <c r="D759" s="3125"/>
      <c r="E759" s="2368">
        <v>6060</v>
      </c>
      <c r="F759" s="2355">
        <f t="shared" si="91"/>
        <v>0</v>
      </c>
      <c r="G759" s="2355"/>
      <c r="H759" s="2355"/>
      <c r="I759" s="2355"/>
      <c r="J759" s="2356"/>
    </row>
    <row r="760" spans="1:10" s="2333" customFormat="1" ht="15" hidden="1" customHeight="1">
      <c r="A760" s="3122"/>
      <c r="B760" s="3123"/>
      <c r="C760" s="3124"/>
      <c r="D760" s="3125"/>
      <c r="E760" s="2354" t="s">
        <v>604</v>
      </c>
      <c r="F760" s="2355">
        <f t="shared" si="91"/>
        <v>0</v>
      </c>
      <c r="G760" s="2355"/>
      <c r="H760" s="2355"/>
      <c r="I760" s="2355"/>
      <c r="J760" s="2356"/>
    </row>
    <row r="761" spans="1:10" s="2333" customFormat="1" ht="15" hidden="1" customHeight="1">
      <c r="A761" s="3122"/>
      <c r="B761" s="3123"/>
      <c r="C761" s="3124"/>
      <c r="D761" s="3125"/>
      <c r="E761" s="2368">
        <v>6069</v>
      </c>
      <c r="F761" s="2355">
        <f t="shared" si="91"/>
        <v>0</v>
      </c>
      <c r="G761" s="2355"/>
      <c r="H761" s="2355"/>
      <c r="I761" s="2355"/>
      <c r="J761" s="2356"/>
    </row>
    <row r="762" spans="1:10" s="2333" customFormat="1" ht="22.5" hidden="1">
      <c r="A762" s="3122"/>
      <c r="B762" s="3123" t="s">
        <v>1206</v>
      </c>
      <c r="C762" s="3124">
        <v>600</v>
      </c>
      <c r="D762" s="3125" t="s">
        <v>629</v>
      </c>
      <c r="E762" s="2358" t="s">
        <v>1129</v>
      </c>
      <c r="F762" s="2359">
        <f>SUM(F763,F770)</f>
        <v>0</v>
      </c>
      <c r="G762" s="2359">
        <f>SUM(G763,G770)</f>
        <v>0</v>
      </c>
      <c r="H762" s="2359">
        <f>SUM(H763,H770)</f>
        <v>0</v>
      </c>
      <c r="I762" s="2359">
        <f>SUM(I763,I770)</f>
        <v>0</v>
      </c>
      <c r="J762" s="2360">
        <f>SUM(J763,J770)</f>
        <v>0</v>
      </c>
    </row>
    <row r="763" spans="1:10" s="2333" customFormat="1" ht="15" hidden="1" customHeight="1">
      <c r="A763" s="3122"/>
      <c r="B763" s="3123"/>
      <c r="C763" s="3124"/>
      <c r="D763" s="3125"/>
      <c r="E763" s="2361" t="s">
        <v>685</v>
      </c>
      <c r="F763" s="2362">
        <f>SUM(F764,F767)</f>
        <v>0</v>
      </c>
      <c r="G763" s="2362">
        <f>SUM(G764,G767)</f>
        <v>0</v>
      </c>
      <c r="H763" s="2362">
        <f>SUM(H764,H767)</f>
        <v>0</v>
      </c>
      <c r="I763" s="2362">
        <f>SUM(I764,I767)</f>
        <v>0</v>
      </c>
      <c r="J763" s="2363">
        <f>SUM(J764,J767)</f>
        <v>0</v>
      </c>
    </row>
    <row r="764" spans="1:10" s="2333" customFormat="1" ht="22.5" hidden="1">
      <c r="A764" s="3122"/>
      <c r="B764" s="3123"/>
      <c r="C764" s="3124"/>
      <c r="D764" s="3125"/>
      <c r="E764" s="2364" t="s">
        <v>1136</v>
      </c>
      <c r="F764" s="2365">
        <f>SUM(F765:F766)</f>
        <v>0</v>
      </c>
      <c r="G764" s="2365">
        <f>SUM(G765:G766)</f>
        <v>0</v>
      </c>
      <c r="H764" s="2365">
        <f>SUM(H765:H766)</f>
        <v>0</v>
      </c>
      <c r="I764" s="2365">
        <f>SUM(I765:I766)</f>
        <v>0</v>
      </c>
      <c r="J764" s="2366">
        <f>SUM(J765:J766)</f>
        <v>0</v>
      </c>
    </row>
    <row r="765" spans="1:10" s="2333" customFormat="1" ht="15" hidden="1" customHeight="1">
      <c r="A765" s="3122"/>
      <c r="B765" s="3123"/>
      <c r="C765" s="3124"/>
      <c r="D765" s="3125"/>
      <c r="E765" s="2354"/>
      <c r="F765" s="2355">
        <f>SUM(G765:J765)</f>
        <v>0</v>
      </c>
      <c r="G765" s="2355"/>
      <c r="H765" s="2355"/>
      <c r="I765" s="2355"/>
      <c r="J765" s="2356"/>
    </row>
    <row r="766" spans="1:10" s="2333" customFormat="1" ht="15" hidden="1" customHeight="1">
      <c r="A766" s="3122"/>
      <c r="B766" s="3123"/>
      <c r="C766" s="3124"/>
      <c r="D766" s="3125"/>
      <c r="E766" s="2354"/>
      <c r="F766" s="2355">
        <f>SUM(G766:J766)</f>
        <v>0</v>
      </c>
      <c r="G766" s="2355"/>
      <c r="H766" s="2355"/>
      <c r="I766" s="2355"/>
      <c r="J766" s="2356"/>
    </row>
    <row r="767" spans="1:10" s="2333" customFormat="1" ht="22.5" hidden="1">
      <c r="A767" s="3122"/>
      <c r="B767" s="3123"/>
      <c r="C767" s="3124"/>
      <c r="D767" s="3125"/>
      <c r="E767" s="2364" t="s">
        <v>1137</v>
      </c>
      <c r="F767" s="2365">
        <f>SUM(F768:F769)</f>
        <v>0</v>
      </c>
      <c r="G767" s="2365">
        <f>SUM(G768:G769)</f>
        <v>0</v>
      </c>
      <c r="H767" s="2365">
        <f>SUM(H768:H769)</f>
        <v>0</v>
      </c>
      <c r="I767" s="2365">
        <f>SUM(I768:I769)</f>
        <v>0</v>
      </c>
      <c r="J767" s="2366">
        <f>SUM(J768:J769)</f>
        <v>0</v>
      </c>
    </row>
    <row r="768" spans="1:10" s="2333" customFormat="1" ht="15" hidden="1" customHeight="1">
      <c r="A768" s="3122"/>
      <c r="B768" s="3123"/>
      <c r="C768" s="3124"/>
      <c r="D768" s="3125"/>
      <c r="E768" s="2354"/>
      <c r="F768" s="2355">
        <f>SUM(G768:J768)</f>
        <v>0</v>
      </c>
      <c r="G768" s="2355"/>
      <c r="H768" s="2355"/>
      <c r="I768" s="2355"/>
      <c r="J768" s="2356"/>
    </row>
    <row r="769" spans="1:10" s="2333" customFormat="1" ht="15" hidden="1" customHeight="1">
      <c r="A769" s="3122"/>
      <c r="B769" s="3123"/>
      <c r="C769" s="3124"/>
      <c r="D769" s="3125"/>
      <c r="E769" s="2354"/>
      <c r="F769" s="2355">
        <f>SUM(G769:J769)</f>
        <v>0</v>
      </c>
      <c r="G769" s="2355"/>
      <c r="H769" s="2355"/>
      <c r="I769" s="2355"/>
      <c r="J769" s="2356"/>
    </row>
    <row r="770" spans="1:10" s="2333" customFormat="1" ht="15" hidden="1" customHeight="1">
      <c r="A770" s="3122"/>
      <c r="B770" s="3123"/>
      <c r="C770" s="3124"/>
      <c r="D770" s="3125"/>
      <c r="E770" s="2367" t="s">
        <v>1130</v>
      </c>
      <c r="F770" s="2362">
        <f>SUM(F771:F776)</f>
        <v>0</v>
      </c>
      <c r="G770" s="2362">
        <f>SUM(G771:G776)</f>
        <v>0</v>
      </c>
      <c r="H770" s="2362">
        <f>SUM(H771:H776)</f>
        <v>0</v>
      </c>
      <c r="I770" s="2362">
        <f>SUM(I771:I776)</f>
        <v>0</v>
      </c>
      <c r="J770" s="2363">
        <f>SUM(J771:J776)</f>
        <v>0</v>
      </c>
    </row>
    <row r="771" spans="1:10" s="2333" customFormat="1" ht="15" hidden="1" customHeight="1">
      <c r="A771" s="3122"/>
      <c r="B771" s="3123"/>
      <c r="C771" s="3124"/>
      <c r="D771" s="3125"/>
      <c r="E771" s="2354" t="s">
        <v>531</v>
      </c>
      <c r="F771" s="2355">
        <f t="shared" ref="F771:F776" si="92">SUM(G771:J771)</f>
        <v>0</v>
      </c>
      <c r="G771" s="2355"/>
      <c r="H771" s="2355"/>
      <c r="I771" s="2355"/>
      <c r="J771" s="2356"/>
    </row>
    <row r="772" spans="1:10" s="2333" customFormat="1" ht="15" hidden="1" customHeight="1">
      <c r="A772" s="3122"/>
      <c r="B772" s="3123"/>
      <c r="C772" s="3124"/>
      <c r="D772" s="3125"/>
      <c r="E772" s="2354" t="s">
        <v>625</v>
      </c>
      <c r="F772" s="2355">
        <f t="shared" si="92"/>
        <v>0</v>
      </c>
      <c r="G772" s="2355"/>
      <c r="H772" s="2355"/>
      <c r="I772" s="2355"/>
      <c r="J772" s="2356"/>
    </row>
    <row r="773" spans="1:10" s="2333" customFormat="1" ht="15" hidden="1" customHeight="1">
      <c r="A773" s="3122"/>
      <c r="B773" s="3123"/>
      <c r="C773" s="3124"/>
      <c r="D773" s="3125"/>
      <c r="E773" s="2368">
        <v>6059</v>
      </c>
      <c r="F773" s="2355">
        <f t="shared" si="92"/>
        <v>0</v>
      </c>
      <c r="G773" s="2355"/>
      <c r="H773" s="2355"/>
      <c r="I773" s="2355"/>
      <c r="J773" s="2356"/>
    </row>
    <row r="774" spans="1:10" s="2333" customFormat="1" ht="15" hidden="1" customHeight="1">
      <c r="A774" s="3122"/>
      <c r="B774" s="3123"/>
      <c r="C774" s="3124"/>
      <c r="D774" s="3125"/>
      <c r="E774" s="2368">
        <v>6060</v>
      </c>
      <c r="F774" s="2355">
        <f t="shared" si="92"/>
        <v>0</v>
      </c>
      <c r="G774" s="2355"/>
      <c r="H774" s="2355"/>
      <c r="I774" s="2355"/>
      <c r="J774" s="2356"/>
    </row>
    <row r="775" spans="1:10" s="2333" customFormat="1" ht="15" hidden="1" customHeight="1">
      <c r="A775" s="3122"/>
      <c r="B775" s="3123"/>
      <c r="C775" s="3124"/>
      <c r="D775" s="3125"/>
      <c r="E775" s="2354" t="s">
        <v>604</v>
      </c>
      <c r="F775" s="2355">
        <f t="shared" si="92"/>
        <v>0</v>
      </c>
      <c r="G775" s="2355"/>
      <c r="H775" s="2355"/>
      <c r="I775" s="2355"/>
      <c r="J775" s="2356"/>
    </row>
    <row r="776" spans="1:10" s="2333" customFormat="1" ht="15" hidden="1" customHeight="1">
      <c r="A776" s="3122"/>
      <c r="B776" s="3123"/>
      <c r="C776" s="3124"/>
      <c r="D776" s="3125"/>
      <c r="E776" s="2368">
        <v>6069</v>
      </c>
      <c r="F776" s="2355">
        <f t="shared" si="92"/>
        <v>0</v>
      </c>
      <c r="G776" s="2355"/>
      <c r="H776" s="2355"/>
      <c r="I776" s="2355"/>
      <c r="J776" s="2356"/>
    </row>
    <row r="777" spans="1:10" s="2333" customFormat="1" ht="22.5">
      <c r="A777" s="3115" t="s">
        <v>1127</v>
      </c>
      <c r="B777" s="3116" t="s">
        <v>1207</v>
      </c>
      <c r="C777" s="3117">
        <v>600</v>
      </c>
      <c r="D777" s="3118" t="s">
        <v>629</v>
      </c>
      <c r="E777" s="2330" t="s">
        <v>1129</v>
      </c>
      <c r="F777" s="2331">
        <f>SUM(F778,F785)</f>
        <v>12340000</v>
      </c>
      <c r="G777" s="2331">
        <f>SUM(G778,G785)</f>
        <v>1936000</v>
      </c>
      <c r="H777" s="2331">
        <f>SUM(H778,H785)</f>
        <v>10404000</v>
      </c>
      <c r="I777" s="2331">
        <f>SUM(I778,I785)</f>
        <v>0</v>
      </c>
      <c r="J777" s="2332">
        <f>SUM(J778,J785)</f>
        <v>0</v>
      </c>
    </row>
    <row r="778" spans="1:10" s="2333" customFormat="1" ht="15" customHeight="1">
      <c r="A778" s="3115"/>
      <c r="B778" s="3116"/>
      <c r="C778" s="3117"/>
      <c r="D778" s="3118"/>
      <c r="E778" s="2335" t="s">
        <v>685</v>
      </c>
      <c r="F778" s="2336">
        <f>SUM(F779,F782)</f>
        <v>0</v>
      </c>
      <c r="G778" s="2336">
        <f>SUM(G779,G782)</f>
        <v>0</v>
      </c>
      <c r="H778" s="2336">
        <f>SUM(H779,H782)</f>
        <v>0</v>
      </c>
      <c r="I778" s="2336">
        <f>SUM(I779,I782)</f>
        <v>0</v>
      </c>
      <c r="J778" s="2337">
        <f>SUM(J779,J782)</f>
        <v>0</v>
      </c>
    </row>
    <row r="779" spans="1:10" s="2333" customFormat="1" ht="22.5" hidden="1">
      <c r="A779" s="3115"/>
      <c r="B779" s="3116"/>
      <c r="C779" s="3117"/>
      <c r="D779" s="3118"/>
      <c r="E779" s="2347" t="s">
        <v>1136</v>
      </c>
      <c r="F779" s="2348">
        <f>SUM(F780:F781)</f>
        <v>0</v>
      </c>
      <c r="G779" s="2348">
        <f>SUM(G780:G781)</f>
        <v>0</v>
      </c>
      <c r="H779" s="2348">
        <f>SUM(H780:H781)</f>
        <v>0</v>
      </c>
      <c r="I779" s="2348">
        <f>SUM(I780:I781)</f>
        <v>0</v>
      </c>
      <c r="J779" s="2349">
        <f>SUM(J780:J781)</f>
        <v>0</v>
      </c>
    </row>
    <row r="780" spans="1:10" s="2333" customFormat="1" ht="15" hidden="1" customHeight="1">
      <c r="A780" s="3115"/>
      <c r="B780" s="3116"/>
      <c r="C780" s="3117"/>
      <c r="D780" s="3118"/>
      <c r="E780" s="2338"/>
      <c r="F780" s="2339">
        <f>SUM(G780:J780)</f>
        <v>0</v>
      </c>
      <c r="G780" s="2339"/>
      <c r="H780" s="2339"/>
      <c r="I780" s="2339"/>
      <c r="J780" s="2340"/>
    </row>
    <row r="781" spans="1:10" s="2333" customFormat="1" ht="15" hidden="1" customHeight="1">
      <c r="A781" s="3115"/>
      <c r="B781" s="3116"/>
      <c r="C781" s="3117"/>
      <c r="D781" s="3118"/>
      <c r="E781" s="2338"/>
      <c r="F781" s="2339">
        <f>SUM(G781:J781)</f>
        <v>0</v>
      </c>
      <c r="G781" s="2339"/>
      <c r="H781" s="2339"/>
      <c r="I781" s="2339"/>
      <c r="J781" s="2340"/>
    </row>
    <row r="782" spans="1:10" s="2333" customFormat="1" ht="22.5" hidden="1">
      <c r="A782" s="3115"/>
      <c r="B782" s="3116"/>
      <c r="C782" s="3117"/>
      <c r="D782" s="3118"/>
      <c r="E782" s="2347" t="s">
        <v>1137</v>
      </c>
      <c r="F782" s="2348">
        <f>SUM(F783:F784)</f>
        <v>0</v>
      </c>
      <c r="G782" s="2348">
        <f>SUM(G783:G784)</f>
        <v>0</v>
      </c>
      <c r="H782" s="2348">
        <f>SUM(H783:H784)</f>
        <v>0</v>
      </c>
      <c r="I782" s="2348">
        <f>SUM(I783:I784)</f>
        <v>0</v>
      </c>
      <c r="J782" s="2349">
        <f>SUM(J783:J784)</f>
        <v>0</v>
      </c>
    </row>
    <row r="783" spans="1:10" s="2333" customFormat="1" ht="15" hidden="1" customHeight="1">
      <c r="A783" s="3115"/>
      <c r="B783" s="3116"/>
      <c r="C783" s="3117"/>
      <c r="D783" s="3118"/>
      <c r="E783" s="2338"/>
      <c r="F783" s="2339">
        <f>SUM(G783:J783)</f>
        <v>0</v>
      </c>
      <c r="G783" s="2339"/>
      <c r="H783" s="2339"/>
      <c r="I783" s="2339"/>
      <c r="J783" s="2340"/>
    </row>
    <row r="784" spans="1:10" s="2333" customFormat="1" ht="15" hidden="1" customHeight="1">
      <c r="A784" s="3115"/>
      <c r="B784" s="3116"/>
      <c r="C784" s="3117"/>
      <c r="D784" s="3118"/>
      <c r="E784" s="2338"/>
      <c r="F784" s="2339">
        <f>SUM(G784:J784)</f>
        <v>0</v>
      </c>
      <c r="G784" s="2339"/>
      <c r="H784" s="2339"/>
      <c r="I784" s="2339"/>
      <c r="J784" s="2340"/>
    </row>
    <row r="785" spans="1:10" s="2333" customFormat="1" ht="15" customHeight="1">
      <c r="A785" s="3115"/>
      <c r="B785" s="3116"/>
      <c r="C785" s="3117"/>
      <c r="D785" s="3118"/>
      <c r="E785" s="2341" t="s">
        <v>1130</v>
      </c>
      <c r="F785" s="2336">
        <f>SUM(F786:F791)</f>
        <v>12340000</v>
      </c>
      <c r="G785" s="2336">
        <f>SUM(G786:G791)</f>
        <v>1936000</v>
      </c>
      <c r="H785" s="2336">
        <f>SUM(H786:H791)</f>
        <v>10404000</v>
      </c>
      <c r="I785" s="2336">
        <f>SUM(I786:I791)</f>
        <v>0</v>
      </c>
      <c r="J785" s="2337">
        <f>SUM(J786:J791)</f>
        <v>0</v>
      </c>
    </row>
    <row r="786" spans="1:10" s="2333" customFormat="1" ht="15" customHeight="1">
      <c r="A786" s="3115"/>
      <c r="B786" s="3116"/>
      <c r="C786" s="3117"/>
      <c r="D786" s="3118"/>
      <c r="E786" s="2338" t="s">
        <v>531</v>
      </c>
      <c r="F786" s="2339">
        <f t="shared" ref="F786:F791" si="93">SUM(G786:J786)</f>
        <v>100000</v>
      </c>
      <c r="G786" s="2339">
        <v>100000</v>
      </c>
      <c r="H786" s="2339"/>
      <c r="I786" s="2339"/>
      <c r="J786" s="2340"/>
    </row>
    <row r="787" spans="1:10" s="2333" customFormat="1" ht="15" customHeight="1">
      <c r="A787" s="3115"/>
      <c r="B787" s="3116"/>
      <c r="C787" s="3117"/>
      <c r="D787" s="3118"/>
      <c r="E787" s="2338" t="s">
        <v>625</v>
      </c>
      <c r="F787" s="2339">
        <f t="shared" si="93"/>
        <v>10319000</v>
      </c>
      <c r="G787" s="2339"/>
      <c r="H787" s="2339">
        <v>10319000</v>
      </c>
      <c r="I787" s="2339"/>
      <c r="J787" s="2340"/>
    </row>
    <row r="788" spans="1:10" s="2333" customFormat="1" ht="15" customHeight="1">
      <c r="A788" s="3115"/>
      <c r="B788" s="3116"/>
      <c r="C788" s="3117"/>
      <c r="D788" s="3118"/>
      <c r="E788" s="2338" t="s">
        <v>626</v>
      </c>
      <c r="F788" s="2339">
        <f t="shared" si="93"/>
        <v>1821000</v>
      </c>
      <c r="G788" s="2339">
        <v>1821000</v>
      </c>
      <c r="H788" s="2339"/>
      <c r="I788" s="2339"/>
      <c r="J788" s="2340"/>
    </row>
    <row r="789" spans="1:10" s="2333" customFormat="1" ht="15" hidden="1" customHeight="1">
      <c r="A789" s="3115"/>
      <c r="B789" s="3116"/>
      <c r="C789" s="3117"/>
      <c r="D789" s="3118"/>
      <c r="E789" s="2338" t="s">
        <v>525</v>
      </c>
      <c r="F789" s="2339">
        <f t="shared" si="93"/>
        <v>0</v>
      </c>
      <c r="G789" s="2339"/>
      <c r="H789" s="2339"/>
      <c r="I789" s="2339"/>
      <c r="J789" s="2340"/>
    </row>
    <row r="790" spans="1:10" s="2333" customFormat="1" ht="15" customHeight="1">
      <c r="A790" s="3115"/>
      <c r="B790" s="3116"/>
      <c r="C790" s="3117"/>
      <c r="D790" s="3118"/>
      <c r="E790" s="2338" t="s">
        <v>604</v>
      </c>
      <c r="F790" s="2339">
        <f t="shared" si="93"/>
        <v>85000</v>
      </c>
      <c r="G790" s="2339"/>
      <c r="H790" s="2339">
        <v>85000</v>
      </c>
      <c r="I790" s="2339"/>
      <c r="J790" s="2340"/>
    </row>
    <row r="791" spans="1:10" s="2333" customFormat="1" ht="15" customHeight="1">
      <c r="A791" s="3115"/>
      <c r="B791" s="3116"/>
      <c r="C791" s="3117"/>
      <c r="D791" s="3118"/>
      <c r="E791" s="2344">
        <v>6069</v>
      </c>
      <c r="F791" s="2339">
        <f t="shared" si="93"/>
        <v>15000</v>
      </c>
      <c r="G791" s="2339">
        <v>15000</v>
      </c>
      <c r="H791" s="2339"/>
      <c r="I791" s="2339"/>
      <c r="J791" s="2340"/>
    </row>
    <row r="792" spans="1:10" s="2333" customFormat="1" ht="22.5">
      <c r="A792" s="3115" t="s">
        <v>1131</v>
      </c>
      <c r="B792" s="3116" t="s">
        <v>1208</v>
      </c>
      <c r="C792" s="3117">
        <v>600</v>
      </c>
      <c r="D792" s="3118" t="s">
        <v>629</v>
      </c>
      <c r="E792" s="2330" t="s">
        <v>1129</v>
      </c>
      <c r="F792" s="2331">
        <f>SUM(F793,F800)</f>
        <v>18147056</v>
      </c>
      <c r="G792" s="2331">
        <f>SUM(G793,G800)</f>
        <v>2722058</v>
      </c>
      <c r="H792" s="2331">
        <f>SUM(H793,H800)</f>
        <v>15424998</v>
      </c>
      <c r="I792" s="2331">
        <f>SUM(I793,I800)</f>
        <v>0</v>
      </c>
      <c r="J792" s="2332">
        <f>SUM(J793,J800)</f>
        <v>0</v>
      </c>
    </row>
    <row r="793" spans="1:10" s="2333" customFormat="1" ht="15" customHeight="1">
      <c r="A793" s="3115"/>
      <c r="B793" s="3116"/>
      <c r="C793" s="3117"/>
      <c r="D793" s="3118"/>
      <c r="E793" s="2335" t="s">
        <v>685</v>
      </c>
      <c r="F793" s="2336">
        <f>SUM(F794,F797)</f>
        <v>0</v>
      </c>
      <c r="G793" s="2336">
        <f>SUM(G794,G797)</f>
        <v>0</v>
      </c>
      <c r="H793" s="2336">
        <f>SUM(H794,H797)</f>
        <v>0</v>
      </c>
      <c r="I793" s="2336">
        <f>SUM(I794,I797)</f>
        <v>0</v>
      </c>
      <c r="J793" s="2337">
        <f>SUM(J794,J797)</f>
        <v>0</v>
      </c>
    </row>
    <row r="794" spans="1:10" s="2333" customFormat="1" ht="22.5" hidden="1">
      <c r="A794" s="3115"/>
      <c r="B794" s="3116"/>
      <c r="C794" s="3117"/>
      <c r="D794" s="3118"/>
      <c r="E794" s="2347" t="s">
        <v>1136</v>
      </c>
      <c r="F794" s="2348">
        <f>SUM(F795:F796)</f>
        <v>0</v>
      </c>
      <c r="G794" s="2348">
        <f>SUM(G795:G796)</f>
        <v>0</v>
      </c>
      <c r="H794" s="2348">
        <f>SUM(H795:H796)</f>
        <v>0</v>
      </c>
      <c r="I794" s="2348">
        <f>SUM(I795:I796)</f>
        <v>0</v>
      </c>
      <c r="J794" s="2349">
        <f>SUM(J795:J796)</f>
        <v>0</v>
      </c>
    </row>
    <row r="795" spans="1:10" s="2333" customFormat="1" ht="15" hidden="1" customHeight="1">
      <c r="A795" s="3115"/>
      <c r="B795" s="3116"/>
      <c r="C795" s="3117"/>
      <c r="D795" s="3118"/>
      <c r="E795" s="2338"/>
      <c r="F795" s="2339">
        <f>SUM(G795:J795)</f>
        <v>0</v>
      </c>
      <c r="G795" s="2339"/>
      <c r="H795" s="2339"/>
      <c r="I795" s="2339"/>
      <c r="J795" s="2340"/>
    </row>
    <row r="796" spans="1:10" s="2333" customFormat="1" ht="15" hidden="1" customHeight="1">
      <c r="A796" s="3115"/>
      <c r="B796" s="3116"/>
      <c r="C796" s="3117"/>
      <c r="D796" s="3118"/>
      <c r="E796" s="2338"/>
      <c r="F796" s="2339">
        <f>SUM(G796:J796)</f>
        <v>0</v>
      </c>
      <c r="G796" s="2339"/>
      <c r="H796" s="2339"/>
      <c r="I796" s="2339"/>
      <c r="J796" s="2340"/>
    </row>
    <row r="797" spans="1:10" s="2333" customFormat="1" ht="22.5" hidden="1">
      <c r="A797" s="3115"/>
      <c r="B797" s="3116"/>
      <c r="C797" s="3117"/>
      <c r="D797" s="3118"/>
      <c r="E797" s="2347" t="s">
        <v>1137</v>
      </c>
      <c r="F797" s="2348">
        <f>SUM(F798:F799)</f>
        <v>0</v>
      </c>
      <c r="G797" s="2348">
        <f>SUM(G798:G799)</f>
        <v>0</v>
      </c>
      <c r="H797" s="2348">
        <f>SUM(H798:H799)</f>
        <v>0</v>
      </c>
      <c r="I797" s="2348">
        <f>SUM(I798:I799)</f>
        <v>0</v>
      </c>
      <c r="J797" s="2349">
        <f>SUM(J798:J799)</f>
        <v>0</v>
      </c>
    </row>
    <row r="798" spans="1:10" s="2333" customFormat="1" ht="15" hidden="1" customHeight="1">
      <c r="A798" s="3115"/>
      <c r="B798" s="3116"/>
      <c r="C798" s="3117"/>
      <c r="D798" s="3118"/>
      <c r="E798" s="2338"/>
      <c r="F798" s="2339">
        <f>SUM(G798:J798)</f>
        <v>0</v>
      </c>
      <c r="G798" s="2339"/>
      <c r="H798" s="2339"/>
      <c r="I798" s="2339"/>
      <c r="J798" s="2340"/>
    </row>
    <row r="799" spans="1:10" s="2333" customFormat="1" ht="15" hidden="1" customHeight="1">
      <c r="A799" s="3115"/>
      <c r="B799" s="3116"/>
      <c r="C799" s="3117"/>
      <c r="D799" s="3118"/>
      <c r="E799" s="2338"/>
      <c r="F799" s="2339">
        <f>SUM(G799:J799)</f>
        <v>0</v>
      </c>
      <c r="G799" s="2339"/>
      <c r="H799" s="2339"/>
      <c r="I799" s="2339"/>
      <c r="J799" s="2340"/>
    </row>
    <row r="800" spans="1:10" s="2333" customFormat="1" ht="15" customHeight="1">
      <c r="A800" s="3115"/>
      <c r="B800" s="3116"/>
      <c r="C800" s="3117"/>
      <c r="D800" s="3118"/>
      <c r="E800" s="2341" t="s">
        <v>1130</v>
      </c>
      <c r="F800" s="2336">
        <f>SUM(F801:F806)</f>
        <v>18147056</v>
      </c>
      <c r="G800" s="2336">
        <f>SUM(G801:G806)</f>
        <v>2722058</v>
      </c>
      <c r="H800" s="2336">
        <f>SUM(H801:H806)</f>
        <v>15424998</v>
      </c>
      <c r="I800" s="2336">
        <f>SUM(I801:I806)</f>
        <v>0</v>
      </c>
      <c r="J800" s="2337">
        <f>SUM(J801:J806)</f>
        <v>0</v>
      </c>
    </row>
    <row r="801" spans="1:10" s="2333" customFormat="1" ht="15" hidden="1" customHeight="1">
      <c r="A801" s="3115"/>
      <c r="B801" s="3116"/>
      <c r="C801" s="3117"/>
      <c r="D801" s="3118"/>
      <c r="E801" s="2338" t="s">
        <v>531</v>
      </c>
      <c r="F801" s="2339">
        <f t="shared" ref="F801:F806" si="94">SUM(G801:J801)</f>
        <v>0</v>
      </c>
      <c r="G801" s="2339"/>
      <c r="H801" s="2339"/>
      <c r="I801" s="2339"/>
      <c r="J801" s="2340"/>
    </row>
    <row r="802" spans="1:10" s="2333" customFormat="1" ht="15" customHeight="1">
      <c r="A802" s="3115"/>
      <c r="B802" s="3116"/>
      <c r="C802" s="3117"/>
      <c r="D802" s="3118"/>
      <c r="E802" s="2338" t="s">
        <v>625</v>
      </c>
      <c r="F802" s="2339">
        <f t="shared" si="94"/>
        <v>15424998</v>
      </c>
      <c r="G802" s="2339"/>
      <c r="H802" s="2339">
        <v>15424998</v>
      </c>
      <c r="I802" s="2339"/>
      <c r="J802" s="2340"/>
    </row>
    <row r="803" spans="1:10" s="2333" customFormat="1" ht="15" customHeight="1">
      <c r="A803" s="3115"/>
      <c r="B803" s="3116"/>
      <c r="C803" s="3117"/>
      <c r="D803" s="3118"/>
      <c r="E803" s="2338" t="s">
        <v>626</v>
      </c>
      <c r="F803" s="2339">
        <f t="shared" si="94"/>
        <v>2722058</v>
      </c>
      <c r="G803" s="2339">
        <v>2722058</v>
      </c>
      <c r="H803" s="2339"/>
      <c r="I803" s="2339"/>
      <c r="J803" s="2340"/>
    </row>
    <row r="804" spans="1:10" s="2333" customFormat="1" ht="15" hidden="1" customHeight="1">
      <c r="A804" s="3115"/>
      <c r="B804" s="3116"/>
      <c r="C804" s="3117"/>
      <c r="D804" s="3118"/>
      <c r="E804" s="2338" t="s">
        <v>525</v>
      </c>
      <c r="F804" s="2339">
        <f t="shared" si="94"/>
        <v>0</v>
      </c>
      <c r="G804" s="2339"/>
      <c r="H804" s="2339"/>
      <c r="I804" s="2339"/>
      <c r="J804" s="2340"/>
    </row>
    <row r="805" spans="1:10" s="2333" customFormat="1" ht="15" hidden="1" customHeight="1">
      <c r="A805" s="3115"/>
      <c r="B805" s="3116"/>
      <c r="C805" s="3117"/>
      <c r="D805" s="3118"/>
      <c r="E805" s="2338" t="s">
        <v>604</v>
      </c>
      <c r="F805" s="2339">
        <f t="shared" si="94"/>
        <v>0</v>
      </c>
      <c r="G805" s="2339"/>
      <c r="H805" s="2339"/>
      <c r="I805" s="2339"/>
      <c r="J805" s="2340"/>
    </row>
    <row r="806" spans="1:10" s="2333" customFormat="1" ht="15" hidden="1" customHeight="1">
      <c r="A806" s="3115"/>
      <c r="B806" s="3116"/>
      <c r="C806" s="3117"/>
      <c r="D806" s="3118"/>
      <c r="E806" s="2344">
        <v>6069</v>
      </c>
      <c r="F806" s="2339">
        <f t="shared" si="94"/>
        <v>0</v>
      </c>
      <c r="G806" s="2339"/>
      <c r="H806" s="2339"/>
      <c r="I806" s="2339"/>
      <c r="J806" s="2340"/>
    </row>
    <row r="807" spans="1:10" s="2333" customFormat="1" ht="22.5">
      <c r="A807" s="3130" t="s">
        <v>1133</v>
      </c>
      <c r="B807" s="3133" t="s">
        <v>1209</v>
      </c>
      <c r="C807" s="3136">
        <v>600</v>
      </c>
      <c r="D807" s="3139" t="s">
        <v>629</v>
      </c>
      <c r="E807" s="2330" t="s">
        <v>1129</v>
      </c>
      <c r="F807" s="2331">
        <f>SUM(F808,F815)</f>
        <v>18015385</v>
      </c>
      <c r="G807" s="2331">
        <f>SUM(G808,G815)</f>
        <v>2991308</v>
      </c>
      <c r="H807" s="2331">
        <f>SUM(H808,H815)</f>
        <v>15024077</v>
      </c>
      <c r="I807" s="2331">
        <f>SUM(I808,I815)</f>
        <v>0</v>
      </c>
      <c r="J807" s="2332">
        <f>SUM(J808,J815)</f>
        <v>0</v>
      </c>
    </row>
    <row r="808" spans="1:10" s="2333" customFormat="1" ht="15" customHeight="1">
      <c r="A808" s="3131"/>
      <c r="B808" s="3134"/>
      <c r="C808" s="3137"/>
      <c r="D808" s="3140"/>
      <c r="E808" s="2335" t="s">
        <v>685</v>
      </c>
      <c r="F808" s="2336">
        <f>SUM(F809,F812)</f>
        <v>0</v>
      </c>
      <c r="G808" s="2336">
        <f>SUM(G809,G812)</f>
        <v>0</v>
      </c>
      <c r="H808" s="2336">
        <f>SUM(H809,H812)</f>
        <v>0</v>
      </c>
      <c r="I808" s="2336">
        <f>SUM(I809,I812)</f>
        <v>0</v>
      </c>
      <c r="J808" s="2337">
        <f>SUM(J809,J812)</f>
        <v>0</v>
      </c>
    </row>
    <row r="809" spans="1:10" s="2333" customFormat="1" ht="22.5" hidden="1">
      <c r="A809" s="3131"/>
      <c r="B809" s="3134"/>
      <c r="C809" s="3137"/>
      <c r="D809" s="3140"/>
      <c r="E809" s="2347" t="s">
        <v>1136</v>
      </c>
      <c r="F809" s="2348">
        <f>SUM(F810:F811)</f>
        <v>0</v>
      </c>
      <c r="G809" s="2348">
        <f>SUM(G810:G811)</f>
        <v>0</v>
      </c>
      <c r="H809" s="2348">
        <f>SUM(H810:H811)</f>
        <v>0</v>
      </c>
      <c r="I809" s="2348">
        <f>SUM(I810:I811)</f>
        <v>0</v>
      </c>
      <c r="J809" s="2349">
        <f>SUM(J810:J811)</f>
        <v>0</v>
      </c>
    </row>
    <row r="810" spans="1:10" s="2333" customFormat="1" ht="15" hidden="1" customHeight="1">
      <c r="A810" s="3131"/>
      <c r="B810" s="3134"/>
      <c r="C810" s="3137"/>
      <c r="D810" s="3140"/>
      <c r="E810" s="2338"/>
      <c r="F810" s="2339">
        <f>SUM(G810:J810)</f>
        <v>0</v>
      </c>
      <c r="G810" s="2339"/>
      <c r="H810" s="2339"/>
      <c r="I810" s="2339"/>
      <c r="J810" s="2340"/>
    </row>
    <row r="811" spans="1:10" s="2333" customFormat="1" ht="15" hidden="1" customHeight="1">
      <c r="A811" s="3131"/>
      <c r="B811" s="3134"/>
      <c r="C811" s="3137"/>
      <c r="D811" s="3140"/>
      <c r="E811" s="2338"/>
      <c r="F811" s="2339">
        <f>SUM(G811:J811)</f>
        <v>0</v>
      </c>
      <c r="G811" s="2339"/>
      <c r="H811" s="2339"/>
      <c r="I811" s="2339"/>
      <c r="J811" s="2340"/>
    </row>
    <row r="812" spans="1:10" s="2333" customFormat="1" ht="22.5" hidden="1">
      <c r="A812" s="3131"/>
      <c r="B812" s="3134"/>
      <c r="C812" s="3137"/>
      <c r="D812" s="3140"/>
      <c r="E812" s="2347" t="s">
        <v>1137</v>
      </c>
      <c r="F812" s="2348">
        <f>SUM(F813:F814)</f>
        <v>0</v>
      </c>
      <c r="G812" s="2348">
        <f>SUM(G813:G814)</f>
        <v>0</v>
      </c>
      <c r="H812" s="2348">
        <f>SUM(H813:H814)</f>
        <v>0</v>
      </c>
      <c r="I812" s="2348">
        <f>SUM(I813:I814)</f>
        <v>0</v>
      </c>
      <c r="J812" s="2349">
        <f>SUM(J813:J814)</f>
        <v>0</v>
      </c>
    </row>
    <row r="813" spans="1:10" s="2333" customFormat="1" ht="15" hidden="1" customHeight="1">
      <c r="A813" s="3131"/>
      <c r="B813" s="3134"/>
      <c r="C813" s="3137"/>
      <c r="D813" s="3140"/>
      <c r="E813" s="2338"/>
      <c r="F813" s="2339">
        <f>SUM(G813:J813)</f>
        <v>0</v>
      </c>
      <c r="G813" s="2339"/>
      <c r="H813" s="2339"/>
      <c r="I813" s="2339"/>
      <c r="J813" s="2340"/>
    </row>
    <row r="814" spans="1:10" s="2333" customFormat="1" ht="15" hidden="1" customHeight="1">
      <c r="A814" s="3131"/>
      <c r="B814" s="3134"/>
      <c r="C814" s="3137"/>
      <c r="D814" s="3140"/>
      <c r="E814" s="2338"/>
      <c r="F814" s="2339">
        <f>SUM(G814:J814)</f>
        <v>0</v>
      </c>
      <c r="G814" s="2339"/>
      <c r="H814" s="2339"/>
      <c r="I814" s="2339"/>
      <c r="J814" s="2340"/>
    </row>
    <row r="815" spans="1:10" s="2333" customFormat="1" ht="15" customHeight="1">
      <c r="A815" s="3131"/>
      <c r="B815" s="3134"/>
      <c r="C815" s="3137"/>
      <c r="D815" s="3140"/>
      <c r="E815" s="2341" t="s">
        <v>1130</v>
      </c>
      <c r="F815" s="2336">
        <f>SUM(F816:F821)</f>
        <v>18015385</v>
      </c>
      <c r="G815" s="2336">
        <f>SUM(G816:G821)</f>
        <v>2991308</v>
      </c>
      <c r="H815" s="2336">
        <f>SUM(H816:H821)</f>
        <v>15024077</v>
      </c>
      <c r="I815" s="2336">
        <f>SUM(I816:I821)</f>
        <v>0</v>
      </c>
      <c r="J815" s="2337">
        <f>SUM(J816:J821)</f>
        <v>0</v>
      </c>
    </row>
    <row r="816" spans="1:10" s="2333" customFormat="1" ht="15" customHeight="1">
      <c r="A816" s="3131"/>
      <c r="B816" s="3134"/>
      <c r="C816" s="3137"/>
      <c r="D816" s="3140"/>
      <c r="E816" s="2338" t="s">
        <v>531</v>
      </c>
      <c r="F816" s="2339">
        <f t="shared" ref="F816:F821" si="95">SUM(G816:J816)</f>
        <v>340000</v>
      </c>
      <c r="G816" s="2339">
        <v>340000</v>
      </c>
      <c r="H816" s="2339"/>
      <c r="I816" s="2339"/>
      <c r="J816" s="2340"/>
    </row>
    <row r="817" spans="1:10" s="2333" customFormat="1" ht="15" customHeight="1">
      <c r="A817" s="3131"/>
      <c r="B817" s="3134"/>
      <c r="C817" s="3137"/>
      <c r="D817" s="3140"/>
      <c r="E817" s="2338" t="s">
        <v>625</v>
      </c>
      <c r="F817" s="2339">
        <f t="shared" si="95"/>
        <v>10264077</v>
      </c>
      <c r="G817" s="2339"/>
      <c r="H817" s="2339">
        <v>10264077</v>
      </c>
      <c r="I817" s="2339"/>
      <c r="J817" s="2340"/>
    </row>
    <row r="818" spans="1:10" s="2333" customFormat="1" ht="15" customHeight="1">
      <c r="A818" s="3131"/>
      <c r="B818" s="3134"/>
      <c r="C818" s="3137"/>
      <c r="D818" s="3140"/>
      <c r="E818" s="2338" t="s">
        <v>626</v>
      </c>
      <c r="F818" s="2339">
        <f t="shared" si="95"/>
        <v>1811308</v>
      </c>
      <c r="G818" s="2339">
        <v>1811308</v>
      </c>
      <c r="H818" s="2339"/>
      <c r="I818" s="2339"/>
      <c r="J818" s="2340"/>
    </row>
    <row r="819" spans="1:10" s="2333" customFormat="1" ht="15" hidden="1" customHeight="1">
      <c r="A819" s="3131"/>
      <c r="B819" s="3134"/>
      <c r="C819" s="3137"/>
      <c r="D819" s="3140"/>
      <c r="E819" s="2338" t="s">
        <v>525</v>
      </c>
      <c r="F819" s="2339">
        <f t="shared" si="95"/>
        <v>0</v>
      </c>
      <c r="G819" s="2339"/>
      <c r="H819" s="2339"/>
      <c r="I819" s="2339"/>
      <c r="J819" s="2340"/>
    </row>
    <row r="820" spans="1:10" s="2333" customFormat="1" ht="15" customHeight="1">
      <c r="A820" s="3131"/>
      <c r="B820" s="3134"/>
      <c r="C820" s="3137"/>
      <c r="D820" s="3140"/>
      <c r="E820" s="2338" t="s">
        <v>604</v>
      </c>
      <c r="F820" s="2339">
        <f t="shared" si="95"/>
        <v>4760000</v>
      </c>
      <c r="G820" s="2339"/>
      <c r="H820" s="2339">
        <v>4760000</v>
      </c>
      <c r="I820" s="2339"/>
      <c r="J820" s="2340"/>
    </row>
    <row r="821" spans="1:10" s="2333" customFormat="1" ht="15" customHeight="1">
      <c r="A821" s="3132"/>
      <c r="B821" s="3135"/>
      <c r="C821" s="3138"/>
      <c r="D821" s="3141"/>
      <c r="E821" s="2344">
        <v>6069</v>
      </c>
      <c r="F821" s="2339">
        <f t="shared" si="95"/>
        <v>840000</v>
      </c>
      <c r="G821" s="2339">
        <v>840000</v>
      </c>
      <c r="H821" s="2339"/>
      <c r="I821" s="2339"/>
      <c r="J821" s="2340"/>
    </row>
    <row r="822" spans="1:10" s="2333" customFormat="1" ht="22.5" hidden="1">
      <c r="A822" s="3122"/>
      <c r="B822" s="3123" t="s">
        <v>1210</v>
      </c>
      <c r="C822" s="3124">
        <v>600</v>
      </c>
      <c r="D822" s="3125" t="s">
        <v>629</v>
      </c>
      <c r="E822" s="2358" t="s">
        <v>1129</v>
      </c>
      <c r="F822" s="2359">
        <f>SUM(F823,F830)</f>
        <v>0</v>
      </c>
      <c r="G822" s="2359">
        <f>SUM(G823,G830)</f>
        <v>0</v>
      </c>
      <c r="H822" s="2359">
        <f>SUM(H823,H830)</f>
        <v>0</v>
      </c>
      <c r="I822" s="2359">
        <f>SUM(I823,I830)</f>
        <v>0</v>
      </c>
      <c r="J822" s="2360">
        <f>SUM(J823,J830)</f>
        <v>0</v>
      </c>
    </row>
    <row r="823" spans="1:10" s="2333" customFormat="1" ht="15" hidden="1" customHeight="1">
      <c r="A823" s="3122"/>
      <c r="B823" s="3123"/>
      <c r="C823" s="3124"/>
      <c r="D823" s="3125"/>
      <c r="E823" s="2361" t="s">
        <v>685</v>
      </c>
      <c r="F823" s="2362">
        <f>SUM(F824,F827)</f>
        <v>0</v>
      </c>
      <c r="G823" s="2362">
        <f>SUM(G824,G827)</f>
        <v>0</v>
      </c>
      <c r="H823" s="2362">
        <f>SUM(H824,H827)</f>
        <v>0</v>
      </c>
      <c r="I823" s="2362">
        <f>SUM(I824,I827)</f>
        <v>0</v>
      </c>
      <c r="J823" s="2363">
        <f>SUM(J824,J827)</f>
        <v>0</v>
      </c>
    </row>
    <row r="824" spans="1:10" s="2333" customFormat="1" ht="22.5" hidden="1">
      <c r="A824" s="3122"/>
      <c r="B824" s="3123"/>
      <c r="C824" s="3124"/>
      <c r="D824" s="3125"/>
      <c r="E824" s="2364" t="s">
        <v>1136</v>
      </c>
      <c r="F824" s="2365">
        <f>SUM(F825:F826)</f>
        <v>0</v>
      </c>
      <c r="G824" s="2365">
        <f>SUM(G825:G826)</f>
        <v>0</v>
      </c>
      <c r="H824" s="2365">
        <f>SUM(H825:H826)</f>
        <v>0</v>
      </c>
      <c r="I824" s="2365">
        <f>SUM(I825:I826)</f>
        <v>0</v>
      </c>
      <c r="J824" s="2366">
        <f>SUM(J825:J826)</f>
        <v>0</v>
      </c>
    </row>
    <row r="825" spans="1:10" s="2333" customFormat="1" ht="15" hidden="1" customHeight="1">
      <c r="A825" s="3122"/>
      <c r="B825" s="3123"/>
      <c r="C825" s="3124"/>
      <c r="D825" s="3125"/>
      <c r="E825" s="2354"/>
      <c r="F825" s="2355">
        <f>SUM(G825:J825)</f>
        <v>0</v>
      </c>
      <c r="G825" s="2355"/>
      <c r="H825" s="2355"/>
      <c r="I825" s="2355"/>
      <c r="J825" s="2356"/>
    </row>
    <row r="826" spans="1:10" s="2333" customFormat="1" ht="15" hidden="1" customHeight="1">
      <c r="A826" s="3122"/>
      <c r="B826" s="3123"/>
      <c r="C826" s="3124"/>
      <c r="D826" s="3125"/>
      <c r="E826" s="2354"/>
      <c r="F826" s="2355">
        <f>SUM(G826:J826)</f>
        <v>0</v>
      </c>
      <c r="G826" s="2355"/>
      <c r="H826" s="2355"/>
      <c r="I826" s="2355"/>
      <c r="J826" s="2356"/>
    </row>
    <row r="827" spans="1:10" s="2333" customFormat="1" ht="22.5" hidden="1">
      <c r="A827" s="3122"/>
      <c r="B827" s="3123"/>
      <c r="C827" s="3124"/>
      <c r="D827" s="3125"/>
      <c r="E827" s="2364" t="s">
        <v>1137</v>
      </c>
      <c r="F827" s="2365">
        <f>SUM(F828:F829)</f>
        <v>0</v>
      </c>
      <c r="G827" s="2365">
        <f>SUM(G828:G829)</f>
        <v>0</v>
      </c>
      <c r="H827" s="2365">
        <f>SUM(H828:H829)</f>
        <v>0</v>
      </c>
      <c r="I827" s="2365">
        <f>SUM(I828:I829)</f>
        <v>0</v>
      </c>
      <c r="J827" s="2366">
        <f>SUM(J828:J829)</f>
        <v>0</v>
      </c>
    </row>
    <row r="828" spans="1:10" s="2333" customFormat="1" ht="15" hidden="1" customHeight="1">
      <c r="A828" s="3122"/>
      <c r="B828" s="3123"/>
      <c r="C828" s="3124"/>
      <c r="D828" s="3125"/>
      <c r="E828" s="2354"/>
      <c r="F828" s="2355">
        <f>SUM(G828:J828)</f>
        <v>0</v>
      </c>
      <c r="G828" s="2355"/>
      <c r="H828" s="2355"/>
      <c r="I828" s="2355"/>
      <c r="J828" s="2356"/>
    </row>
    <row r="829" spans="1:10" s="2333" customFormat="1" ht="15" hidden="1" customHeight="1">
      <c r="A829" s="3122"/>
      <c r="B829" s="3123"/>
      <c r="C829" s="3124"/>
      <c r="D829" s="3125"/>
      <c r="E829" s="2354"/>
      <c r="F829" s="2355">
        <f>SUM(G829:J829)</f>
        <v>0</v>
      </c>
      <c r="G829" s="2355"/>
      <c r="H829" s="2355"/>
      <c r="I829" s="2355"/>
      <c r="J829" s="2356"/>
    </row>
    <row r="830" spans="1:10" s="2333" customFormat="1" ht="15" hidden="1" customHeight="1">
      <c r="A830" s="3122"/>
      <c r="B830" s="3123"/>
      <c r="C830" s="3124"/>
      <c r="D830" s="3125"/>
      <c r="E830" s="2367" t="s">
        <v>1130</v>
      </c>
      <c r="F830" s="2362">
        <f>SUM(F831:F836)</f>
        <v>0</v>
      </c>
      <c r="G830" s="2362">
        <f>SUM(G831:G836)</f>
        <v>0</v>
      </c>
      <c r="H830" s="2362">
        <f>SUM(H831:H836)</f>
        <v>0</v>
      </c>
      <c r="I830" s="2362">
        <f>SUM(I831:I836)</f>
        <v>0</v>
      </c>
      <c r="J830" s="2363">
        <f>SUM(J831:J836)</f>
        <v>0</v>
      </c>
    </row>
    <row r="831" spans="1:10" s="2333" customFormat="1" ht="15" hidden="1" customHeight="1">
      <c r="A831" s="3122"/>
      <c r="B831" s="3123"/>
      <c r="C831" s="3124"/>
      <c r="D831" s="3125"/>
      <c r="E831" s="2354" t="s">
        <v>531</v>
      </c>
      <c r="F831" s="2355">
        <f t="shared" ref="F831:F836" si="96">SUM(G831:J831)</f>
        <v>0</v>
      </c>
      <c r="G831" s="2355"/>
      <c r="H831" s="2355"/>
      <c r="I831" s="2355"/>
      <c r="J831" s="2356"/>
    </row>
    <row r="832" spans="1:10" s="2333" customFormat="1" ht="15" hidden="1" customHeight="1">
      <c r="A832" s="3122"/>
      <c r="B832" s="3123"/>
      <c r="C832" s="3124"/>
      <c r="D832" s="3125"/>
      <c r="E832" s="2354" t="s">
        <v>625</v>
      </c>
      <c r="F832" s="2355">
        <f t="shared" si="96"/>
        <v>0</v>
      </c>
      <c r="G832" s="2355"/>
      <c r="H832" s="2355"/>
      <c r="I832" s="2355"/>
      <c r="J832" s="2356"/>
    </row>
    <row r="833" spans="1:10" s="2333" customFormat="1" ht="15" hidden="1" customHeight="1">
      <c r="A833" s="3122"/>
      <c r="B833" s="3123"/>
      <c r="C833" s="3124"/>
      <c r="D833" s="3125"/>
      <c r="E833" s="2354" t="s">
        <v>626</v>
      </c>
      <c r="F833" s="2355">
        <f t="shared" si="96"/>
        <v>0</v>
      </c>
      <c r="G833" s="2355"/>
      <c r="H833" s="2355"/>
      <c r="I833" s="2355"/>
      <c r="J833" s="2356"/>
    </row>
    <row r="834" spans="1:10" s="2333" customFormat="1" ht="15" hidden="1" customHeight="1">
      <c r="A834" s="3122"/>
      <c r="B834" s="3123"/>
      <c r="C834" s="3124"/>
      <c r="D834" s="3125"/>
      <c r="E834" s="2354" t="s">
        <v>525</v>
      </c>
      <c r="F834" s="2355">
        <f t="shared" si="96"/>
        <v>0</v>
      </c>
      <c r="G834" s="2355"/>
      <c r="H834" s="2355"/>
      <c r="I834" s="2355"/>
      <c r="J834" s="2356"/>
    </row>
    <row r="835" spans="1:10" s="2333" customFormat="1" ht="15" hidden="1" customHeight="1">
      <c r="A835" s="3122"/>
      <c r="B835" s="3123"/>
      <c r="C835" s="3124"/>
      <c r="D835" s="3125"/>
      <c r="E835" s="2354" t="s">
        <v>604</v>
      </c>
      <c r="F835" s="2355">
        <f t="shared" si="96"/>
        <v>0</v>
      </c>
      <c r="G835" s="2355"/>
      <c r="H835" s="2355"/>
      <c r="I835" s="2355"/>
      <c r="J835" s="2356"/>
    </row>
    <row r="836" spans="1:10" s="2333" customFormat="1" ht="15" hidden="1" customHeight="1">
      <c r="A836" s="3122"/>
      <c r="B836" s="3123"/>
      <c r="C836" s="3124"/>
      <c r="D836" s="3125"/>
      <c r="E836" s="2368">
        <v>6069</v>
      </c>
      <c r="F836" s="2355">
        <f t="shared" si="96"/>
        <v>0</v>
      </c>
      <c r="G836" s="2355"/>
      <c r="H836" s="2355"/>
      <c r="I836" s="2355"/>
      <c r="J836" s="2356"/>
    </row>
    <row r="837" spans="1:10" s="2333" customFormat="1" ht="22.5" hidden="1">
      <c r="A837" s="3122"/>
      <c r="B837" s="3123" t="s">
        <v>1211</v>
      </c>
      <c r="C837" s="3124">
        <v>600</v>
      </c>
      <c r="D837" s="3125" t="s">
        <v>629</v>
      </c>
      <c r="E837" s="2358" t="s">
        <v>1129</v>
      </c>
      <c r="F837" s="2359">
        <f>SUM(F838,F845)</f>
        <v>0</v>
      </c>
      <c r="G837" s="2359">
        <f>SUM(G838,G845)</f>
        <v>0</v>
      </c>
      <c r="H837" s="2359">
        <f>SUM(H838,H845)</f>
        <v>0</v>
      </c>
      <c r="I837" s="2359">
        <f>SUM(I838,I845)</f>
        <v>0</v>
      </c>
      <c r="J837" s="2360">
        <f>SUM(J838,J845)</f>
        <v>0</v>
      </c>
    </row>
    <row r="838" spans="1:10" s="2333" customFormat="1" ht="15" hidden="1" customHeight="1">
      <c r="A838" s="3122"/>
      <c r="B838" s="3123"/>
      <c r="C838" s="3124"/>
      <c r="D838" s="3125"/>
      <c r="E838" s="2361" t="s">
        <v>685</v>
      </c>
      <c r="F838" s="2362">
        <f>SUM(F839,F842)</f>
        <v>0</v>
      </c>
      <c r="G838" s="2362">
        <f>SUM(G839,G842)</f>
        <v>0</v>
      </c>
      <c r="H838" s="2362">
        <f>SUM(H839,H842)</f>
        <v>0</v>
      </c>
      <c r="I838" s="2362">
        <f>SUM(I839,I842)</f>
        <v>0</v>
      </c>
      <c r="J838" s="2363">
        <f>SUM(J839,J842)</f>
        <v>0</v>
      </c>
    </row>
    <row r="839" spans="1:10" s="2333" customFormat="1" ht="22.5" hidden="1">
      <c r="A839" s="3122"/>
      <c r="B839" s="3123"/>
      <c r="C839" s="3124"/>
      <c r="D839" s="3125"/>
      <c r="E839" s="2364" t="s">
        <v>1136</v>
      </c>
      <c r="F839" s="2365">
        <f>SUM(F840:F841)</f>
        <v>0</v>
      </c>
      <c r="G839" s="2365">
        <f>SUM(G840:G841)</f>
        <v>0</v>
      </c>
      <c r="H839" s="2365">
        <f>SUM(H840:H841)</f>
        <v>0</v>
      </c>
      <c r="I839" s="2365">
        <f>SUM(I840:I841)</f>
        <v>0</v>
      </c>
      <c r="J839" s="2366">
        <f>SUM(J840:J841)</f>
        <v>0</v>
      </c>
    </row>
    <row r="840" spans="1:10" s="2333" customFormat="1" ht="15" hidden="1" customHeight="1">
      <c r="A840" s="3122"/>
      <c r="B840" s="3123"/>
      <c r="C840" s="3124"/>
      <c r="D840" s="3125"/>
      <c r="E840" s="2354"/>
      <c r="F840" s="2355">
        <f>SUM(G840:J840)</f>
        <v>0</v>
      </c>
      <c r="G840" s="2355"/>
      <c r="H840" s="2355"/>
      <c r="I840" s="2355"/>
      <c r="J840" s="2356"/>
    </row>
    <row r="841" spans="1:10" s="2333" customFormat="1" ht="15" hidden="1" customHeight="1">
      <c r="A841" s="3122"/>
      <c r="B841" s="3123"/>
      <c r="C841" s="3124"/>
      <c r="D841" s="3125"/>
      <c r="E841" s="2354"/>
      <c r="F841" s="2355">
        <f>SUM(G841:J841)</f>
        <v>0</v>
      </c>
      <c r="G841" s="2355"/>
      <c r="H841" s="2355"/>
      <c r="I841" s="2355"/>
      <c r="J841" s="2356"/>
    </row>
    <row r="842" spans="1:10" s="2333" customFormat="1" ht="22.5" hidden="1">
      <c r="A842" s="3122"/>
      <c r="B842" s="3123"/>
      <c r="C842" s="3124"/>
      <c r="D842" s="3125"/>
      <c r="E842" s="2364" t="s">
        <v>1137</v>
      </c>
      <c r="F842" s="2365">
        <f>SUM(F843:F844)</f>
        <v>0</v>
      </c>
      <c r="G842" s="2365">
        <f>SUM(G843:G844)</f>
        <v>0</v>
      </c>
      <c r="H842" s="2365">
        <f>SUM(H843:H844)</f>
        <v>0</v>
      </c>
      <c r="I842" s="2365">
        <f>SUM(I843:I844)</f>
        <v>0</v>
      </c>
      <c r="J842" s="2366">
        <f>SUM(J843:J844)</f>
        <v>0</v>
      </c>
    </row>
    <row r="843" spans="1:10" s="2333" customFormat="1" ht="15" hidden="1" customHeight="1">
      <c r="A843" s="3122"/>
      <c r="B843" s="3123"/>
      <c r="C843" s="3124"/>
      <c r="D843" s="3125"/>
      <c r="E843" s="2354"/>
      <c r="F843" s="2355">
        <f>SUM(G843:J843)</f>
        <v>0</v>
      </c>
      <c r="G843" s="2355"/>
      <c r="H843" s="2355"/>
      <c r="I843" s="2355"/>
      <c r="J843" s="2356"/>
    </row>
    <row r="844" spans="1:10" s="2333" customFormat="1" ht="15" hidden="1" customHeight="1">
      <c r="A844" s="3122"/>
      <c r="B844" s="3123"/>
      <c r="C844" s="3124"/>
      <c r="D844" s="3125"/>
      <c r="E844" s="2354"/>
      <c r="F844" s="2355">
        <f>SUM(G844:J844)</f>
        <v>0</v>
      </c>
      <c r="G844" s="2355"/>
      <c r="H844" s="2355"/>
      <c r="I844" s="2355"/>
      <c r="J844" s="2356"/>
    </row>
    <row r="845" spans="1:10" s="2333" customFormat="1" ht="15" hidden="1" customHeight="1">
      <c r="A845" s="3122"/>
      <c r="B845" s="3123"/>
      <c r="C845" s="3124"/>
      <c r="D845" s="3125"/>
      <c r="E845" s="2367" t="s">
        <v>1130</v>
      </c>
      <c r="F845" s="2362">
        <f>SUM(F846:F851)</f>
        <v>0</v>
      </c>
      <c r="G845" s="2362">
        <f>SUM(G846:G851)</f>
        <v>0</v>
      </c>
      <c r="H845" s="2362">
        <f>SUM(H846:H851)</f>
        <v>0</v>
      </c>
      <c r="I845" s="2362">
        <f>SUM(I846:I851)</f>
        <v>0</v>
      </c>
      <c r="J845" s="2363">
        <f>SUM(J846:J851)</f>
        <v>0</v>
      </c>
    </row>
    <row r="846" spans="1:10" s="2333" customFormat="1" ht="15" hidden="1" customHeight="1">
      <c r="A846" s="3122"/>
      <c r="B846" s="3123"/>
      <c r="C846" s="3124"/>
      <c r="D846" s="3125"/>
      <c r="E846" s="2354" t="s">
        <v>531</v>
      </c>
      <c r="F846" s="2355">
        <f t="shared" ref="F846:F851" si="97">SUM(G846:J846)</f>
        <v>0</v>
      </c>
      <c r="G846" s="2355"/>
      <c r="H846" s="2355"/>
      <c r="I846" s="2355"/>
      <c r="J846" s="2356"/>
    </row>
    <row r="847" spans="1:10" s="2333" customFormat="1" ht="15" hidden="1" customHeight="1">
      <c r="A847" s="3122"/>
      <c r="B847" s="3123"/>
      <c r="C847" s="3124"/>
      <c r="D847" s="3125"/>
      <c r="E847" s="2368">
        <v>6057</v>
      </c>
      <c r="F847" s="2355">
        <f t="shared" si="97"/>
        <v>0</v>
      </c>
      <c r="G847" s="2355"/>
      <c r="H847" s="2355"/>
      <c r="I847" s="2355"/>
      <c r="J847" s="2356"/>
    </row>
    <row r="848" spans="1:10" s="2333" customFormat="1" ht="15" hidden="1" customHeight="1">
      <c r="A848" s="3122"/>
      <c r="B848" s="3123"/>
      <c r="C848" s="3124"/>
      <c r="D848" s="3125"/>
      <c r="E848" s="2368">
        <v>6059</v>
      </c>
      <c r="F848" s="2355">
        <f t="shared" si="97"/>
        <v>0</v>
      </c>
      <c r="G848" s="2355"/>
      <c r="H848" s="2355"/>
      <c r="I848" s="2355"/>
      <c r="J848" s="2356"/>
    </row>
    <row r="849" spans="1:10" s="2333" customFormat="1" ht="15" hidden="1" customHeight="1">
      <c r="A849" s="3122"/>
      <c r="B849" s="3123"/>
      <c r="C849" s="3124"/>
      <c r="D849" s="3125"/>
      <c r="E849" s="2368">
        <v>6060</v>
      </c>
      <c r="F849" s="2355">
        <f t="shared" si="97"/>
        <v>0</v>
      </c>
      <c r="G849" s="2355"/>
      <c r="H849" s="2355"/>
      <c r="I849" s="2355"/>
      <c r="J849" s="2356"/>
    </row>
    <row r="850" spans="1:10" s="2333" customFormat="1" ht="15" hidden="1" customHeight="1">
      <c r="A850" s="3122"/>
      <c r="B850" s="3123"/>
      <c r="C850" s="3124"/>
      <c r="D850" s="3125"/>
      <c r="E850" s="2354" t="s">
        <v>604</v>
      </c>
      <c r="F850" s="2355">
        <f t="shared" si="97"/>
        <v>0</v>
      </c>
      <c r="G850" s="2355"/>
      <c r="H850" s="2355"/>
      <c r="I850" s="2355"/>
      <c r="J850" s="2356"/>
    </row>
    <row r="851" spans="1:10" s="2333" customFormat="1" ht="15" hidden="1" customHeight="1">
      <c r="A851" s="3122"/>
      <c r="B851" s="3123"/>
      <c r="C851" s="3124"/>
      <c r="D851" s="3125"/>
      <c r="E851" s="2368">
        <v>6069</v>
      </c>
      <c r="F851" s="2355">
        <f t="shared" si="97"/>
        <v>0</v>
      </c>
      <c r="G851" s="2355"/>
      <c r="H851" s="2355"/>
      <c r="I851" s="2355"/>
      <c r="J851" s="2356"/>
    </row>
    <row r="852" spans="1:10" s="2333" customFormat="1" ht="22.5">
      <c r="A852" s="3115" t="s">
        <v>1138</v>
      </c>
      <c r="B852" s="3116" t="s">
        <v>1212</v>
      </c>
      <c r="C852" s="3117">
        <v>600</v>
      </c>
      <c r="D852" s="3118" t="s">
        <v>629</v>
      </c>
      <c r="E852" s="2330" t="s">
        <v>1129</v>
      </c>
      <c r="F852" s="2331">
        <f>SUM(F853,F860)</f>
        <v>8460000</v>
      </c>
      <c r="G852" s="2331">
        <f>SUM(G853,G860)</f>
        <v>1269000</v>
      </c>
      <c r="H852" s="2331">
        <f>SUM(H853,H860)</f>
        <v>7191000</v>
      </c>
      <c r="I852" s="2331">
        <f>SUM(I853,I860)</f>
        <v>0</v>
      </c>
      <c r="J852" s="2332">
        <f>SUM(J853,J860)</f>
        <v>0</v>
      </c>
    </row>
    <row r="853" spans="1:10" s="2333" customFormat="1" ht="15" customHeight="1">
      <c r="A853" s="3115"/>
      <c r="B853" s="3116"/>
      <c r="C853" s="3117"/>
      <c r="D853" s="3118"/>
      <c r="E853" s="2335" t="s">
        <v>685</v>
      </c>
      <c r="F853" s="2336">
        <f>SUM(F854,F857)</f>
        <v>0</v>
      </c>
      <c r="G853" s="2336">
        <f>SUM(G854,G857)</f>
        <v>0</v>
      </c>
      <c r="H853" s="2336">
        <f>SUM(H854,H857)</f>
        <v>0</v>
      </c>
      <c r="I853" s="2336">
        <f>SUM(I854,I857)</f>
        <v>0</v>
      </c>
      <c r="J853" s="2337">
        <f>SUM(J854,J857)</f>
        <v>0</v>
      </c>
    </row>
    <row r="854" spans="1:10" s="2333" customFormat="1" ht="22.5" hidden="1">
      <c r="A854" s="3115"/>
      <c r="B854" s="3116"/>
      <c r="C854" s="3117"/>
      <c r="D854" s="3118"/>
      <c r="E854" s="2347" t="s">
        <v>1136</v>
      </c>
      <c r="F854" s="2348">
        <f>SUM(F855:F856)</f>
        <v>0</v>
      </c>
      <c r="G854" s="2348">
        <f>SUM(G855:G856)</f>
        <v>0</v>
      </c>
      <c r="H854" s="2348">
        <f>SUM(H855:H856)</f>
        <v>0</v>
      </c>
      <c r="I854" s="2348">
        <f>SUM(I855:I856)</f>
        <v>0</v>
      </c>
      <c r="J854" s="2349">
        <f>SUM(J855:J856)</f>
        <v>0</v>
      </c>
    </row>
    <row r="855" spans="1:10" s="2333" customFormat="1" ht="15" hidden="1" customHeight="1">
      <c r="A855" s="3115"/>
      <c r="B855" s="3116"/>
      <c r="C855" s="3117"/>
      <c r="D855" s="3118"/>
      <c r="E855" s="2338"/>
      <c r="F855" s="2339">
        <f>SUM(G855:J855)</f>
        <v>0</v>
      </c>
      <c r="G855" s="2339"/>
      <c r="H855" s="2339"/>
      <c r="I855" s="2339"/>
      <c r="J855" s="2340"/>
    </row>
    <row r="856" spans="1:10" s="2333" customFormat="1" ht="15" hidden="1" customHeight="1">
      <c r="A856" s="3115"/>
      <c r="B856" s="3116"/>
      <c r="C856" s="3117"/>
      <c r="D856" s="3118"/>
      <c r="E856" s="2338"/>
      <c r="F856" s="2339">
        <f>SUM(G856:J856)</f>
        <v>0</v>
      </c>
      <c r="G856" s="2339"/>
      <c r="H856" s="2339"/>
      <c r="I856" s="2339"/>
      <c r="J856" s="2340"/>
    </row>
    <row r="857" spans="1:10" s="2333" customFormat="1" ht="22.5" hidden="1">
      <c r="A857" s="3115"/>
      <c r="B857" s="3116"/>
      <c r="C857" s="3117"/>
      <c r="D857" s="3118"/>
      <c r="E857" s="2347" t="s">
        <v>1137</v>
      </c>
      <c r="F857" s="2348">
        <f>SUM(F858:F859)</f>
        <v>0</v>
      </c>
      <c r="G857" s="2348">
        <f>SUM(G858:G859)</f>
        <v>0</v>
      </c>
      <c r="H857" s="2348">
        <f>SUM(H858:H859)</f>
        <v>0</v>
      </c>
      <c r="I857" s="2348">
        <f>SUM(I858:I859)</f>
        <v>0</v>
      </c>
      <c r="J857" s="2349">
        <f>SUM(J858:J859)</f>
        <v>0</v>
      </c>
    </row>
    <row r="858" spans="1:10" s="2333" customFormat="1" ht="15" hidden="1" customHeight="1">
      <c r="A858" s="3115"/>
      <c r="B858" s="3116"/>
      <c r="C858" s="3117"/>
      <c r="D858" s="3118"/>
      <c r="E858" s="2338"/>
      <c r="F858" s="2339">
        <f>SUM(G858:J858)</f>
        <v>0</v>
      </c>
      <c r="G858" s="2339"/>
      <c r="H858" s="2339"/>
      <c r="I858" s="2339"/>
      <c r="J858" s="2340"/>
    </row>
    <row r="859" spans="1:10" s="2333" customFormat="1" ht="15" hidden="1" customHeight="1">
      <c r="A859" s="3115"/>
      <c r="B859" s="3116"/>
      <c r="C859" s="3117"/>
      <c r="D859" s="3118"/>
      <c r="E859" s="2338"/>
      <c r="F859" s="2339">
        <f>SUM(G859:J859)</f>
        <v>0</v>
      </c>
      <c r="G859" s="2339"/>
      <c r="H859" s="2339"/>
      <c r="I859" s="2339"/>
      <c r="J859" s="2340"/>
    </row>
    <row r="860" spans="1:10" s="2333" customFormat="1" ht="15" customHeight="1">
      <c r="A860" s="3115"/>
      <c r="B860" s="3116"/>
      <c r="C860" s="3117"/>
      <c r="D860" s="3118"/>
      <c r="E860" s="2341" t="s">
        <v>1130</v>
      </c>
      <c r="F860" s="2336">
        <f>SUM(F861:F866)</f>
        <v>8460000</v>
      </c>
      <c r="G860" s="2336">
        <f>SUM(G861:G866)</f>
        <v>1269000</v>
      </c>
      <c r="H860" s="2336">
        <f>SUM(H861:H866)</f>
        <v>7191000</v>
      </c>
      <c r="I860" s="2336">
        <f>SUM(I861:I866)</f>
        <v>0</v>
      </c>
      <c r="J860" s="2337">
        <f>SUM(J861:J866)</f>
        <v>0</v>
      </c>
    </row>
    <row r="861" spans="1:10" s="2333" customFormat="1" ht="15" hidden="1" customHeight="1">
      <c r="A861" s="3115"/>
      <c r="B861" s="3116"/>
      <c r="C861" s="3117"/>
      <c r="D861" s="3118"/>
      <c r="E861" s="2338" t="s">
        <v>531</v>
      </c>
      <c r="F861" s="2339">
        <f t="shared" ref="F861:F866" si="98">SUM(G861:J861)</f>
        <v>0</v>
      </c>
      <c r="G861" s="2339"/>
      <c r="H861" s="2339"/>
      <c r="I861" s="2339"/>
      <c r="J861" s="2340"/>
    </row>
    <row r="862" spans="1:10" s="2333" customFormat="1" ht="15" customHeight="1">
      <c r="A862" s="3115"/>
      <c r="B862" s="3116"/>
      <c r="C862" s="3117"/>
      <c r="D862" s="3118"/>
      <c r="E862" s="2344">
        <v>6057</v>
      </c>
      <c r="F862" s="2339">
        <f t="shared" si="98"/>
        <v>7021000</v>
      </c>
      <c r="G862" s="2339"/>
      <c r="H862" s="2339">
        <v>7021000</v>
      </c>
      <c r="I862" s="2339"/>
      <c r="J862" s="2340"/>
    </row>
    <row r="863" spans="1:10" s="2333" customFormat="1" ht="15" customHeight="1">
      <c r="A863" s="3115"/>
      <c r="B863" s="3116"/>
      <c r="C863" s="3117"/>
      <c r="D863" s="3118"/>
      <c r="E863" s="2344">
        <v>6059</v>
      </c>
      <c r="F863" s="2339">
        <f t="shared" si="98"/>
        <v>1239000</v>
      </c>
      <c r="G863" s="2339">
        <v>1239000</v>
      </c>
      <c r="H863" s="2339"/>
      <c r="I863" s="2339"/>
      <c r="J863" s="2340"/>
    </row>
    <row r="864" spans="1:10" s="2333" customFormat="1" ht="15" hidden="1" customHeight="1">
      <c r="A864" s="3115"/>
      <c r="B864" s="3116"/>
      <c r="C864" s="3117"/>
      <c r="D864" s="3118"/>
      <c r="E864" s="2344">
        <v>6060</v>
      </c>
      <c r="F864" s="2339">
        <f t="shared" si="98"/>
        <v>0</v>
      </c>
      <c r="G864" s="2339"/>
      <c r="H864" s="2339"/>
      <c r="I864" s="2339"/>
      <c r="J864" s="2340"/>
    </row>
    <row r="865" spans="1:10" s="2333" customFormat="1" ht="15" customHeight="1">
      <c r="A865" s="3115"/>
      <c r="B865" s="3116"/>
      <c r="C865" s="3117"/>
      <c r="D865" s="3118"/>
      <c r="E865" s="2338" t="s">
        <v>604</v>
      </c>
      <c r="F865" s="2339">
        <f t="shared" si="98"/>
        <v>170000</v>
      </c>
      <c r="G865" s="2339"/>
      <c r="H865" s="2339">
        <v>170000</v>
      </c>
      <c r="I865" s="2339"/>
      <c r="J865" s="2340"/>
    </row>
    <row r="866" spans="1:10" s="2333" customFormat="1" ht="15" customHeight="1">
      <c r="A866" s="3115"/>
      <c r="B866" s="3116"/>
      <c r="C866" s="3117"/>
      <c r="D866" s="3118"/>
      <c r="E866" s="2344">
        <v>6069</v>
      </c>
      <c r="F866" s="2339">
        <f t="shared" si="98"/>
        <v>30000</v>
      </c>
      <c r="G866" s="2339">
        <v>30000</v>
      </c>
      <c r="H866" s="2339"/>
      <c r="I866" s="2339"/>
      <c r="J866" s="2340"/>
    </row>
    <row r="867" spans="1:10" s="2333" customFormat="1" ht="22.5">
      <c r="A867" s="3115" t="s">
        <v>1140</v>
      </c>
      <c r="B867" s="3116" t="s">
        <v>1213</v>
      </c>
      <c r="C867" s="3117">
        <v>600</v>
      </c>
      <c r="D867" s="3118" t="s">
        <v>629</v>
      </c>
      <c r="E867" s="2330" t="s">
        <v>1129</v>
      </c>
      <c r="F867" s="2331">
        <f>SUM(F868,F875)</f>
        <v>66190276</v>
      </c>
      <c r="G867" s="2331">
        <f>SUM(G868,G875)</f>
        <v>9928541</v>
      </c>
      <c r="H867" s="2331">
        <f>SUM(H868,H875)</f>
        <v>56261735</v>
      </c>
      <c r="I867" s="2331">
        <f>SUM(I868,I875)</f>
        <v>0</v>
      </c>
      <c r="J867" s="2332">
        <f>SUM(J868,J875)</f>
        <v>0</v>
      </c>
    </row>
    <row r="868" spans="1:10" s="2333" customFormat="1" ht="15" customHeight="1">
      <c r="A868" s="3115"/>
      <c r="B868" s="3116"/>
      <c r="C868" s="3117"/>
      <c r="D868" s="3118"/>
      <c r="E868" s="2335" t="s">
        <v>685</v>
      </c>
      <c r="F868" s="2336">
        <f>SUM(F869,F872)</f>
        <v>0</v>
      </c>
      <c r="G868" s="2336">
        <f>SUM(G869,G872)</f>
        <v>0</v>
      </c>
      <c r="H868" s="2336">
        <f>SUM(H869,H872)</f>
        <v>0</v>
      </c>
      <c r="I868" s="2336">
        <f>SUM(I869,I872)</f>
        <v>0</v>
      </c>
      <c r="J868" s="2337">
        <f>SUM(J869,J872)</f>
        <v>0</v>
      </c>
    </row>
    <row r="869" spans="1:10" s="2333" customFormat="1" ht="22.5" hidden="1">
      <c r="A869" s="3115"/>
      <c r="B869" s="3116"/>
      <c r="C869" s="3117"/>
      <c r="D869" s="3118"/>
      <c r="E869" s="2347" t="s">
        <v>1136</v>
      </c>
      <c r="F869" s="2348">
        <f>SUM(F870:F871)</f>
        <v>0</v>
      </c>
      <c r="G869" s="2348">
        <f>SUM(G870:G871)</f>
        <v>0</v>
      </c>
      <c r="H869" s="2348">
        <f>SUM(H870:H871)</f>
        <v>0</v>
      </c>
      <c r="I869" s="2348">
        <f>SUM(I870:I871)</f>
        <v>0</v>
      </c>
      <c r="J869" s="2349">
        <f>SUM(J870:J871)</f>
        <v>0</v>
      </c>
    </row>
    <row r="870" spans="1:10" s="2333" customFormat="1" ht="15" hidden="1" customHeight="1">
      <c r="A870" s="3115"/>
      <c r="B870" s="3116"/>
      <c r="C870" s="3117"/>
      <c r="D870" s="3118"/>
      <c r="E870" s="2338"/>
      <c r="F870" s="2339">
        <f>SUM(G870:J870)</f>
        <v>0</v>
      </c>
      <c r="G870" s="2339"/>
      <c r="H870" s="2339"/>
      <c r="I870" s="2339"/>
      <c r="J870" s="2340"/>
    </row>
    <row r="871" spans="1:10" s="2333" customFormat="1" ht="15" hidden="1" customHeight="1">
      <c r="A871" s="3115"/>
      <c r="B871" s="3116"/>
      <c r="C871" s="3117"/>
      <c r="D871" s="3118"/>
      <c r="E871" s="2338"/>
      <c r="F871" s="2339">
        <f>SUM(G871:J871)</f>
        <v>0</v>
      </c>
      <c r="G871" s="2339"/>
      <c r="H871" s="2339"/>
      <c r="I871" s="2339"/>
      <c r="J871" s="2340"/>
    </row>
    <row r="872" spans="1:10" s="2333" customFormat="1" ht="22.5" hidden="1">
      <c r="A872" s="3115"/>
      <c r="B872" s="3116"/>
      <c r="C872" s="3117"/>
      <c r="D872" s="3118"/>
      <c r="E872" s="2347" t="s">
        <v>1137</v>
      </c>
      <c r="F872" s="2348">
        <f>SUM(F873:F874)</f>
        <v>0</v>
      </c>
      <c r="G872" s="2348">
        <f>SUM(G873:G874)</f>
        <v>0</v>
      </c>
      <c r="H872" s="2348">
        <f>SUM(H873:H874)</f>
        <v>0</v>
      </c>
      <c r="I872" s="2348">
        <f>SUM(I873:I874)</f>
        <v>0</v>
      </c>
      <c r="J872" s="2349">
        <f>SUM(J873:J874)</f>
        <v>0</v>
      </c>
    </row>
    <row r="873" spans="1:10" s="2333" customFormat="1" ht="15" hidden="1" customHeight="1">
      <c r="A873" s="3115"/>
      <c r="B873" s="3116"/>
      <c r="C873" s="3117"/>
      <c r="D873" s="3118"/>
      <c r="E873" s="2338"/>
      <c r="F873" s="2339">
        <f>SUM(G873:J873)</f>
        <v>0</v>
      </c>
      <c r="G873" s="2339"/>
      <c r="H873" s="2339"/>
      <c r="I873" s="2339"/>
      <c r="J873" s="2340"/>
    </row>
    <row r="874" spans="1:10" s="2333" customFormat="1" ht="15" hidden="1" customHeight="1">
      <c r="A874" s="3115"/>
      <c r="B874" s="3116"/>
      <c r="C874" s="3117"/>
      <c r="D874" s="3118"/>
      <c r="E874" s="2338"/>
      <c r="F874" s="2339">
        <f>SUM(G874:J874)</f>
        <v>0</v>
      </c>
      <c r="G874" s="2339"/>
      <c r="H874" s="2339"/>
      <c r="I874" s="2339"/>
      <c r="J874" s="2340"/>
    </row>
    <row r="875" spans="1:10" s="2333" customFormat="1" ht="15" customHeight="1">
      <c r="A875" s="3115"/>
      <c r="B875" s="3116"/>
      <c r="C875" s="3117"/>
      <c r="D875" s="3118"/>
      <c r="E875" s="2341" t="s">
        <v>1130</v>
      </c>
      <c r="F875" s="2336">
        <f>SUM(F876:F881)</f>
        <v>66190276</v>
      </c>
      <c r="G875" s="2336">
        <f>SUM(G876:G881)</f>
        <v>9928541</v>
      </c>
      <c r="H875" s="2336">
        <f>SUM(H876:H881)</f>
        <v>56261735</v>
      </c>
      <c r="I875" s="2336">
        <f>SUM(I876:I881)</f>
        <v>0</v>
      </c>
      <c r="J875" s="2337">
        <f>SUM(J876:J881)</f>
        <v>0</v>
      </c>
    </row>
    <row r="876" spans="1:10" s="2333" customFormat="1" ht="15" hidden="1" customHeight="1">
      <c r="A876" s="3115"/>
      <c r="B876" s="3116"/>
      <c r="C876" s="3117"/>
      <c r="D876" s="3118"/>
      <c r="E876" s="2338" t="s">
        <v>531</v>
      </c>
      <c r="F876" s="2339">
        <f t="shared" ref="F876:F881" si="99">SUM(G876:J876)</f>
        <v>0</v>
      </c>
      <c r="G876" s="2339"/>
      <c r="H876" s="2339"/>
      <c r="I876" s="2339"/>
      <c r="J876" s="2340"/>
    </row>
    <row r="877" spans="1:10" s="2333" customFormat="1" ht="15" customHeight="1">
      <c r="A877" s="3115"/>
      <c r="B877" s="3116"/>
      <c r="C877" s="3117"/>
      <c r="D877" s="3118"/>
      <c r="E877" s="2344">
        <v>6057</v>
      </c>
      <c r="F877" s="2339">
        <f t="shared" si="99"/>
        <v>55879235</v>
      </c>
      <c r="G877" s="2339"/>
      <c r="H877" s="2339">
        <v>55879235</v>
      </c>
      <c r="I877" s="2339"/>
      <c r="J877" s="2340"/>
    </row>
    <row r="878" spans="1:10" s="2333" customFormat="1" ht="15" customHeight="1">
      <c r="A878" s="3115"/>
      <c r="B878" s="3116"/>
      <c r="C878" s="3117"/>
      <c r="D878" s="3118"/>
      <c r="E878" s="2344">
        <v>6059</v>
      </c>
      <c r="F878" s="2339">
        <f t="shared" si="99"/>
        <v>9861041</v>
      </c>
      <c r="G878" s="2339">
        <v>9861041</v>
      </c>
      <c r="H878" s="2339"/>
      <c r="I878" s="2339"/>
      <c r="J878" s="2340"/>
    </row>
    <row r="879" spans="1:10" s="2333" customFormat="1" ht="15" hidden="1" customHeight="1">
      <c r="A879" s="3115"/>
      <c r="B879" s="3116"/>
      <c r="C879" s="3117"/>
      <c r="D879" s="3118"/>
      <c r="E879" s="2344">
        <v>6060</v>
      </c>
      <c r="F879" s="2339">
        <f t="shared" si="99"/>
        <v>0</v>
      </c>
      <c r="G879" s="2339"/>
      <c r="H879" s="2339"/>
      <c r="I879" s="2339"/>
      <c r="J879" s="2340"/>
    </row>
    <row r="880" spans="1:10" s="2333" customFormat="1" ht="15" customHeight="1">
      <c r="A880" s="3115"/>
      <c r="B880" s="3116"/>
      <c r="C880" s="3117"/>
      <c r="D880" s="3118"/>
      <c r="E880" s="2338" t="s">
        <v>604</v>
      </c>
      <c r="F880" s="2339">
        <f t="shared" si="99"/>
        <v>382500</v>
      </c>
      <c r="G880" s="2339"/>
      <c r="H880" s="2339">
        <v>382500</v>
      </c>
      <c r="I880" s="2339"/>
      <c r="J880" s="2340"/>
    </row>
    <row r="881" spans="1:10" s="2333" customFormat="1" ht="15" customHeight="1">
      <c r="A881" s="3115"/>
      <c r="B881" s="3116"/>
      <c r="C881" s="3117"/>
      <c r="D881" s="3118"/>
      <c r="E881" s="2344">
        <v>6069</v>
      </c>
      <c r="F881" s="2339">
        <f t="shared" si="99"/>
        <v>67500</v>
      </c>
      <c r="G881" s="2339">
        <v>67500</v>
      </c>
      <c r="H881" s="2339"/>
      <c r="I881" s="2339"/>
      <c r="J881" s="2340"/>
    </row>
    <row r="882" spans="1:10" s="2333" customFormat="1" ht="22.5">
      <c r="A882" s="3130" t="s">
        <v>1142</v>
      </c>
      <c r="B882" s="3133" t="s">
        <v>1214</v>
      </c>
      <c r="C882" s="3136">
        <v>600</v>
      </c>
      <c r="D882" s="3139" t="s">
        <v>629</v>
      </c>
      <c r="E882" s="2330" t="s">
        <v>1129</v>
      </c>
      <c r="F882" s="2331">
        <f>SUM(F883,F890)</f>
        <v>27806554</v>
      </c>
      <c r="G882" s="2331">
        <f>SUM(G883,G890)</f>
        <v>21155513</v>
      </c>
      <c r="H882" s="2331">
        <f>SUM(H883,H890)</f>
        <v>4501041</v>
      </c>
      <c r="I882" s="2331">
        <f>SUM(I883,I890)</f>
        <v>0</v>
      </c>
      <c r="J882" s="2332">
        <f>SUM(J883,J890)</f>
        <v>2150000</v>
      </c>
    </row>
    <row r="883" spans="1:10" s="2333" customFormat="1" ht="15" customHeight="1">
      <c r="A883" s="3131"/>
      <c r="B883" s="3134"/>
      <c r="C883" s="3137"/>
      <c r="D883" s="3140"/>
      <c r="E883" s="2335" t="s">
        <v>685</v>
      </c>
      <c r="F883" s="2336">
        <f>SUM(F884,F887)</f>
        <v>0</v>
      </c>
      <c r="G883" s="2336">
        <f>SUM(G884,G887)</f>
        <v>0</v>
      </c>
      <c r="H883" s="2336">
        <f>SUM(H884,H887)</f>
        <v>0</v>
      </c>
      <c r="I883" s="2336">
        <f>SUM(I884,I887)</f>
        <v>0</v>
      </c>
      <c r="J883" s="2337">
        <f>SUM(J884,J887)</f>
        <v>0</v>
      </c>
    </row>
    <row r="884" spans="1:10" s="2333" customFormat="1" ht="22.5" hidden="1">
      <c r="A884" s="3131"/>
      <c r="B884" s="3134"/>
      <c r="C884" s="3137"/>
      <c r="D884" s="3140"/>
      <c r="E884" s="2347" t="s">
        <v>1136</v>
      </c>
      <c r="F884" s="2348">
        <f>SUM(F885:F886)</f>
        <v>0</v>
      </c>
      <c r="G884" s="2348">
        <f>SUM(G885:G886)</f>
        <v>0</v>
      </c>
      <c r="H884" s="2348">
        <f>SUM(H885:H886)</f>
        <v>0</v>
      </c>
      <c r="I884" s="2348">
        <f>SUM(I885:I886)</f>
        <v>0</v>
      </c>
      <c r="J884" s="2349">
        <f>SUM(J885:J886)</f>
        <v>0</v>
      </c>
    </row>
    <row r="885" spans="1:10" s="2333" customFormat="1" ht="15" hidden="1" customHeight="1">
      <c r="A885" s="3131"/>
      <c r="B885" s="3134"/>
      <c r="C885" s="3137"/>
      <c r="D885" s="3140"/>
      <c r="E885" s="2338"/>
      <c r="F885" s="2339">
        <f>SUM(G885:J885)</f>
        <v>0</v>
      </c>
      <c r="G885" s="2339"/>
      <c r="H885" s="2339"/>
      <c r="I885" s="2339"/>
      <c r="J885" s="2340"/>
    </row>
    <row r="886" spans="1:10" s="2333" customFormat="1" ht="15" hidden="1" customHeight="1">
      <c r="A886" s="3131"/>
      <c r="B886" s="3134"/>
      <c r="C886" s="3137"/>
      <c r="D886" s="3140"/>
      <c r="E886" s="2338"/>
      <c r="F886" s="2339">
        <f>SUM(G886:J886)</f>
        <v>0</v>
      </c>
      <c r="G886" s="2339"/>
      <c r="H886" s="2339"/>
      <c r="I886" s="2339"/>
      <c r="J886" s="2340"/>
    </row>
    <row r="887" spans="1:10" s="2333" customFormat="1" ht="22.5" hidden="1">
      <c r="A887" s="3131"/>
      <c r="B887" s="3134"/>
      <c r="C887" s="3137"/>
      <c r="D887" s="3140"/>
      <c r="E887" s="2347" t="s">
        <v>1137</v>
      </c>
      <c r="F887" s="2348">
        <f>SUM(F888:F889)</f>
        <v>0</v>
      </c>
      <c r="G887" s="2348">
        <f>SUM(G888:G889)</f>
        <v>0</v>
      </c>
      <c r="H887" s="2348">
        <f>SUM(H888:H889)</f>
        <v>0</v>
      </c>
      <c r="I887" s="2348">
        <f>SUM(I888:I889)</f>
        <v>0</v>
      </c>
      <c r="J887" s="2349">
        <f>SUM(J888:J889)</f>
        <v>0</v>
      </c>
    </row>
    <row r="888" spans="1:10" s="2333" customFormat="1" ht="15" hidden="1" customHeight="1">
      <c r="A888" s="3131"/>
      <c r="B888" s="3134"/>
      <c r="C888" s="3137"/>
      <c r="D888" s="3140"/>
      <c r="E888" s="2338"/>
      <c r="F888" s="2339">
        <f>SUM(G888:J888)</f>
        <v>0</v>
      </c>
      <c r="G888" s="2339"/>
      <c r="H888" s="2339"/>
      <c r="I888" s="2339"/>
      <c r="J888" s="2340"/>
    </row>
    <row r="889" spans="1:10" s="2333" customFormat="1" ht="15" hidden="1" customHeight="1">
      <c r="A889" s="3131"/>
      <c r="B889" s="3134"/>
      <c r="C889" s="3137"/>
      <c r="D889" s="3140"/>
      <c r="E889" s="2338"/>
      <c r="F889" s="2339">
        <f>SUM(G889:J889)</f>
        <v>0</v>
      </c>
      <c r="G889" s="2339"/>
      <c r="H889" s="2339"/>
      <c r="I889" s="2339"/>
      <c r="J889" s="2340"/>
    </row>
    <row r="890" spans="1:10" s="2333" customFormat="1" ht="15" customHeight="1">
      <c r="A890" s="3131"/>
      <c r="B890" s="3134"/>
      <c r="C890" s="3137"/>
      <c r="D890" s="3140"/>
      <c r="E890" s="2341" t="s">
        <v>1130</v>
      </c>
      <c r="F890" s="2336">
        <f>SUM(F891:F897)</f>
        <v>27806554</v>
      </c>
      <c r="G890" s="2336">
        <f>SUM(G891:G897)</f>
        <v>21155513</v>
      </c>
      <c r="H890" s="2336">
        <f>SUM(H891:H897)</f>
        <v>4501041</v>
      </c>
      <c r="I890" s="2336">
        <f>SUM(I891:I897)</f>
        <v>0</v>
      </c>
      <c r="J890" s="2337">
        <f>SUM(J891:J897)</f>
        <v>2150000</v>
      </c>
    </row>
    <row r="891" spans="1:10" s="2333" customFormat="1" ht="15" customHeight="1">
      <c r="A891" s="3131"/>
      <c r="B891" s="3134"/>
      <c r="C891" s="3137"/>
      <c r="D891" s="3140"/>
      <c r="E891" s="2338" t="s">
        <v>531</v>
      </c>
      <c r="F891" s="2339">
        <f t="shared" ref="F891:F897" si="100">SUM(G891:J891)</f>
        <v>10944653</v>
      </c>
      <c r="G891" s="2339">
        <v>8794653</v>
      </c>
      <c r="H891" s="2339"/>
      <c r="I891" s="2339"/>
      <c r="J891" s="2340">
        <v>2150000</v>
      </c>
    </row>
    <row r="892" spans="1:10" s="2333" customFormat="1" ht="15" customHeight="1">
      <c r="A892" s="3131"/>
      <c r="B892" s="3134"/>
      <c r="C892" s="3137"/>
      <c r="D892" s="3140"/>
      <c r="E892" s="2344">
        <v>6058</v>
      </c>
      <c r="F892" s="2339">
        <f t="shared" si="100"/>
        <v>11189363</v>
      </c>
      <c r="G892" s="2339">
        <v>11189363</v>
      </c>
      <c r="H892" s="2339"/>
      <c r="I892" s="2339"/>
      <c r="J892" s="2340"/>
    </row>
    <row r="893" spans="1:10" s="2333" customFormat="1" ht="15" customHeight="1">
      <c r="A893" s="3131"/>
      <c r="B893" s="3134"/>
      <c r="C893" s="3137"/>
      <c r="D893" s="3140"/>
      <c r="E893" s="2344">
        <v>6059</v>
      </c>
      <c r="F893" s="2339">
        <f t="shared" si="100"/>
        <v>1171497</v>
      </c>
      <c r="G893" s="2339">
        <v>1171497</v>
      </c>
      <c r="H893" s="2339"/>
      <c r="I893" s="2339"/>
      <c r="J893" s="2340"/>
    </row>
    <row r="894" spans="1:10" s="2333" customFormat="1" ht="15" customHeight="1">
      <c r="A894" s="3131"/>
      <c r="B894" s="3134"/>
      <c r="C894" s="3137"/>
      <c r="D894" s="3140"/>
      <c r="E894" s="2344">
        <v>6208</v>
      </c>
      <c r="F894" s="2339">
        <f t="shared" si="100"/>
        <v>4501041</v>
      </c>
      <c r="G894" s="2339"/>
      <c r="H894" s="2339">
        <v>4501041</v>
      </c>
      <c r="I894" s="2339"/>
      <c r="J894" s="2340"/>
    </row>
    <row r="895" spans="1:10" s="2333" customFormat="1" ht="15" hidden="1" customHeight="1">
      <c r="A895" s="3131"/>
      <c r="B895" s="3134"/>
      <c r="C895" s="3137"/>
      <c r="D895" s="3140"/>
      <c r="E895" s="2344">
        <v>6060</v>
      </c>
      <c r="F895" s="2339">
        <f t="shared" si="100"/>
        <v>0</v>
      </c>
      <c r="G895" s="2339"/>
      <c r="H895" s="2339"/>
      <c r="I895" s="2339"/>
      <c r="J895" s="2340"/>
    </row>
    <row r="896" spans="1:10" s="2333" customFormat="1" ht="15" hidden="1" customHeight="1">
      <c r="A896" s="3131"/>
      <c r="B896" s="3134"/>
      <c r="C896" s="3137"/>
      <c r="D896" s="3140"/>
      <c r="E896" s="2338" t="s">
        <v>638</v>
      </c>
      <c r="F896" s="2339">
        <f t="shared" si="100"/>
        <v>0</v>
      </c>
      <c r="G896" s="2339"/>
      <c r="H896" s="2339"/>
      <c r="I896" s="2339"/>
      <c r="J896" s="2340"/>
    </row>
    <row r="897" spans="1:10" s="2333" customFormat="1" ht="15" hidden="1" customHeight="1">
      <c r="A897" s="3132"/>
      <c r="B897" s="3135"/>
      <c r="C897" s="3138"/>
      <c r="D897" s="3141"/>
      <c r="E897" s="2344">
        <v>6069</v>
      </c>
      <c r="F897" s="2339">
        <f t="shared" si="100"/>
        <v>0</v>
      </c>
      <c r="G897" s="2339"/>
      <c r="H897" s="2339"/>
      <c r="I897" s="2339"/>
      <c r="J897" s="2340"/>
    </row>
    <row r="898" spans="1:10" s="2333" customFormat="1" ht="22.5">
      <c r="A898" s="3115" t="s">
        <v>1144</v>
      </c>
      <c r="B898" s="3116" t="s">
        <v>1215</v>
      </c>
      <c r="C898" s="3117">
        <v>600</v>
      </c>
      <c r="D898" s="3118" t="s">
        <v>629</v>
      </c>
      <c r="E898" s="2330" t="s">
        <v>1129</v>
      </c>
      <c r="F898" s="2331">
        <f>SUM(F899,F906)</f>
        <v>32321179</v>
      </c>
      <c r="G898" s="2331">
        <f>SUM(G899,G906)</f>
        <v>5464118</v>
      </c>
      <c r="H898" s="2331">
        <f>SUM(H899,H906)</f>
        <v>26857061</v>
      </c>
      <c r="I898" s="2331">
        <f>SUM(I899,I906)</f>
        <v>0</v>
      </c>
      <c r="J898" s="2332">
        <f>SUM(J899,J906)</f>
        <v>0</v>
      </c>
    </row>
    <row r="899" spans="1:10" s="2333" customFormat="1" ht="15" customHeight="1">
      <c r="A899" s="3115"/>
      <c r="B899" s="3116"/>
      <c r="C899" s="3117"/>
      <c r="D899" s="3118"/>
      <c r="E899" s="2335" t="s">
        <v>685</v>
      </c>
      <c r="F899" s="2336">
        <f>SUM(F900,F903)</f>
        <v>0</v>
      </c>
      <c r="G899" s="2336">
        <f>SUM(G900,G903)</f>
        <v>0</v>
      </c>
      <c r="H899" s="2336">
        <f>SUM(H900,H903)</f>
        <v>0</v>
      </c>
      <c r="I899" s="2336">
        <f>SUM(I900,I903)</f>
        <v>0</v>
      </c>
      <c r="J899" s="2337">
        <f>SUM(J900,J903)</f>
        <v>0</v>
      </c>
    </row>
    <row r="900" spans="1:10" s="2333" customFormat="1" ht="22.5" hidden="1">
      <c r="A900" s="3115"/>
      <c r="B900" s="3116"/>
      <c r="C900" s="3117"/>
      <c r="D900" s="3118"/>
      <c r="E900" s="2347" t="s">
        <v>1136</v>
      </c>
      <c r="F900" s="2348">
        <f>SUM(F901:F902)</f>
        <v>0</v>
      </c>
      <c r="G900" s="2348">
        <f>SUM(G901:G902)</f>
        <v>0</v>
      </c>
      <c r="H900" s="2348">
        <f>SUM(H901:H902)</f>
        <v>0</v>
      </c>
      <c r="I900" s="2348">
        <f>SUM(I901:I902)</f>
        <v>0</v>
      </c>
      <c r="J900" s="2349">
        <f>SUM(J901:J902)</f>
        <v>0</v>
      </c>
    </row>
    <row r="901" spans="1:10" s="2333" customFormat="1" ht="15" hidden="1" customHeight="1">
      <c r="A901" s="3115"/>
      <c r="B901" s="3116"/>
      <c r="C901" s="3117"/>
      <c r="D901" s="3118"/>
      <c r="E901" s="2338"/>
      <c r="F901" s="2339">
        <f>SUM(G901:J901)</f>
        <v>0</v>
      </c>
      <c r="G901" s="2339"/>
      <c r="H901" s="2339"/>
      <c r="I901" s="2339"/>
      <c r="J901" s="2340"/>
    </row>
    <row r="902" spans="1:10" s="2333" customFormat="1" ht="15" hidden="1" customHeight="1">
      <c r="A902" s="3115"/>
      <c r="B902" s="3116"/>
      <c r="C902" s="3117"/>
      <c r="D902" s="3118"/>
      <c r="E902" s="2338"/>
      <c r="F902" s="2339">
        <f>SUM(G902:J902)</f>
        <v>0</v>
      </c>
      <c r="G902" s="2339"/>
      <c r="H902" s="2339"/>
      <c r="I902" s="2339"/>
      <c r="J902" s="2340"/>
    </row>
    <row r="903" spans="1:10" s="2333" customFormat="1" ht="22.5" hidden="1">
      <c r="A903" s="3115"/>
      <c r="B903" s="3116"/>
      <c r="C903" s="3117"/>
      <c r="D903" s="3118"/>
      <c r="E903" s="2347" t="s">
        <v>1137</v>
      </c>
      <c r="F903" s="2348">
        <f>SUM(F904:F905)</f>
        <v>0</v>
      </c>
      <c r="G903" s="2348">
        <f>SUM(G904:G905)</f>
        <v>0</v>
      </c>
      <c r="H903" s="2348">
        <f>SUM(H904:H905)</f>
        <v>0</v>
      </c>
      <c r="I903" s="2348">
        <f>SUM(I904:I905)</f>
        <v>0</v>
      </c>
      <c r="J903" s="2349">
        <f>SUM(J904:J905)</f>
        <v>0</v>
      </c>
    </row>
    <row r="904" spans="1:10" s="2333" customFormat="1" ht="15" hidden="1" customHeight="1">
      <c r="A904" s="3115"/>
      <c r="B904" s="3116"/>
      <c r="C904" s="3117"/>
      <c r="D904" s="3118"/>
      <c r="E904" s="2338"/>
      <c r="F904" s="2339">
        <f>SUM(G904:J904)</f>
        <v>0</v>
      </c>
      <c r="G904" s="2339"/>
      <c r="H904" s="2339"/>
      <c r="I904" s="2339"/>
      <c r="J904" s="2340"/>
    </row>
    <row r="905" spans="1:10" s="2333" customFormat="1" ht="15" hidden="1" customHeight="1">
      <c r="A905" s="3115"/>
      <c r="B905" s="3116"/>
      <c r="C905" s="3117"/>
      <c r="D905" s="3118"/>
      <c r="E905" s="2338"/>
      <c r="F905" s="2339">
        <f>SUM(G905:J905)</f>
        <v>0</v>
      </c>
      <c r="G905" s="2339"/>
      <c r="H905" s="2339"/>
      <c r="I905" s="2339"/>
      <c r="J905" s="2340"/>
    </row>
    <row r="906" spans="1:10" s="2333" customFormat="1" ht="15" customHeight="1">
      <c r="A906" s="3115"/>
      <c r="B906" s="3116"/>
      <c r="C906" s="3117"/>
      <c r="D906" s="3118"/>
      <c r="E906" s="2341" t="s">
        <v>1130</v>
      </c>
      <c r="F906" s="2336">
        <f>SUM(F907:F912)</f>
        <v>32321179</v>
      </c>
      <c r="G906" s="2336">
        <f>SUM(G907:G912)</f>
        <v>5464118</v>
      </c>
      <c r="H906" s="2336">
        <f>SUM(H907:H912)</f>
        <v>26857061</v>
      </c>
      <c r="I906" s="2336">
        <f>SUM(I907:I912)</f>
        <v>0</v>
      </c>
      <c r="J906" s="2337">
        <f>SUM(J907:J912)</f>
        <v>0</v>
      </c>
    </row>
    <row r="907" spans="1:10" s="2333" customFormat="1" ht="15" customHeight="1">
      <c r="A907" s="3115"/>
      <c r="B907" s="3116"/>
      <c r="C907" s="3117"/>
      <c r="D907" s="3118"/>
      <c r="E907" s="2338" t="s">
        <v>531</v>
      </c>
      <c r="F907" s="2339">
        <f t="shared" ref="F907:F912" si="101">SUM(G907:J907)</f>
        <v>2480000</v>
      </c>
      <c r="G907" s="2339">
        <v>2480000</v>
      </c>
      <c r="H907" s="2339"/>
      <c r="I907" s="2339"/>
      <c r="J907" s="2340"/>
    </row>
    <row r="908" spans="1:10" s="2333" customFormat="1" ht="15" customHeight="1">
      <c r="A908" s="3115"/>
      <c r="B908" s="3116"/>
      <c r="C908" s="3117"/>
      <c r="D908" s="3118"/>
      <c r="E908" s="2344">
        <v>6058</v>
      </c>
      <c r="F908" s="2339">
        <f t="shared" si="101"/>
        <v>26857061</v>
      </c>
      <c r="G908" s="2339"/>
      <c r="H908" s="2339">
        <v>26857061</v>
      </c>
      <c r="I908" s="2339"/>
      <c r="J908" s="2340"/>
    </row>
    <row r="909" spans="1:10" s="2333" customFormat="1" ht="15" customHeight="1">
      <c r="A909" s="3115"/>
      <c r="B909" s="3116"/>
      <c r="C909" s="3117"/>
      <c r="D909" s="3118"/>
      <c r="E909" s="2344">
        <v>6059</v>
      </c>
      <c r="F909" s="2339">
        <f t="shared" si="101"/>
        <v>2984118</v>
      </c>
      <c r="G909" s="2339">
        <v>2984118</v>
      </c>
      <c r="H909" s="2339"/>
      <c r="I909" s="2339"/>
      <c r="J909" s="2340"/>
    </row>
    <row r="910" spans="1:10" s="2333" customFormat="1" ht="15" hidden="1" customHeight="1">
      <c r="A910" s="3115"/>
      <c r="B910" s="3116"/>
      <c r="C910" s="3117"/>
      <c r="D910" s="3118"/>
      <c r="E910" s="2344">
        <v>6060</v>
      </c>
      <c r="F910" s="2339">
        <f t="shared" si="101"/>
        <v>0</v>
      </c>
      <c r="G910" s="2339"/>
      <c r="H910" s="2339"/>
      <c r="I910" s="2339"/>
      <c r="J910" s="2340"/>
    </row>
    <row r="911" spans="1:10" s="2333" customFormat="1" ht="15" hidden="1" customHeight="1">
      <c r="A911" s="3115"/>
      <c r="B911" s="3116"/>
      <c r="C911" s="3117"/>
      <c r="D911" s="3118"/>
      <c r="E911" s="2338" t="s">
        <v>638</v>
      </c>
      <c r="F911" s="2339">
        <f t="shared" si="101"/>
        <v>0</v>
      </c>
      <c r="G911" s="2339"/>
      <c r="H911" s="2339"/>
      <c r="I911" s="2339"/>
      <c r="J911" s="2340"/>
    </row>
    <row r="912" spans="1:10" s="2333" customFormat="1" ht="15" hidden="1" customHeight="1">
      <c r="A912" s="3115"/>
      <c r="B912" s="3116"/>
      <c r="C912" s="3117"/>
      <c r="D912" s="3118"/>
      <c r="E912" s="2344">
        <v>6069</v>
      </c>
      <c r="F912" s="2339">
        <f t="shared" si="101"/>
        <v>0</v>
      </c>
      <c r="G912" s="2339"/>
      <c r="H912" s="2339"/>
      <c r="I912" s="2339"/>
      <c r="J912" s="2340"/>
    </row>
    <row r="913" spans="1:10" s="2369" customFormat="1" ht="30" customHeight="1">
      <c r="A913" s="2326" t="s">
        <v>1216</v>
      </c>
      <c r="B913" s="3126" t="s">
        <v>1217</v>
      </c>
      <c r="C913" s="3126"/>
      <c r="D913" s="3126"/>
      <c r="E913" s="3126"/>
      <c r="F913" s="2380">
        <f>F915</f>
        <v>1094700</v>
      </c>
      <c r="G913" s="2380">
        <f t="shared" ref="G913:J913" si="102">G915</f>
        <v>164205</v>
      </c>
      <c r="H913" s="2380">
        <f t="shared" si="102"/>
        <v>930495</v>
      </c>
      <c r="I913" s="2380">
        <f t="shared" si="102"/>
        <v>0</v>
      </c>
      <c r="J913" s="2381">
        <f t="shared" si="102"/>
        <v>0</v>
      </c>
    </row>
    <row r="914" spans="1:10" s="2369" customFormat="1" ht="15" customHeight="1">
      <c r="A914" s="3142"/>
      <c r="B914" s="3143"/>
      <c r="C914" s="3143"/>
      <c r="D914" s="3143"/>
      <c r="E914" s="3143"/>
      <c r="F914" s="3143"/>
      <c r="G914" s="3143"/>
      <c r="H914" s="3143"/>
      <c r="I914" s="3143"/>
      <c r="J914" s="3144"/>
    </row>
    <row r="915" spans="1:10" s="2369" customFormat="1" ht="22.5">
      <c r="A915" s="3130" t="s">
        <v>1127</v>
      </c>
      <c r="B915" s="3133" t="s">
        <v>1218</v>
      </c>
      <c r="C915" s="3139" t="s">
        <v>201</v>
      </c>
      <c r="D915" s="3139" t="s">
        <v>910</v>
      </c>
      <c r="E915" s="2330" t="s">
        <v>1129</v>
      </c>
      <c r="F915" s="2331">
        <f>SUM(F916,F923)</f>
        <v>1094700</v>
      </c>
      <c r="G915" s="2331">
        <f>SUM(G916,G923)</f>
        <v>164205</v>
      </c>
      <c r="H915" s="2331">
        <f>SUM(H916,H923)</f>
        <v>930495</v>
      </c>
      <c r="I915" s="2331">
        <f>SUM(I916,I923)</f>
        <v>0</v>
      </c>
      <c r="J915" s="2332">
        <f>SUM(J916,J923)</f>
        <v>0</v>
      </c>
    </row>
    <row r="916" spans="1:10" s="2369" customFormat="1" ht="15" customHeight="1">
      <c r="A916" s="3131"/>
      <c r="B916" s="3134"/>
      <c r="C916" s="3140"/>
      <c r="D916" s="3140"/>
      <c r="E916" s="2335" t="s">
        <v>685</v>
      </c>
      <c r="F916" s="2336">
        <f>SUM(F917,F920)</f>
        <v>1094700</v>
      </c>
      <c r="G916" s="2336">
        <f>SUM(G917,G920)</f>
        <v>164205</v>
      </c>
      <c r="H916" s="2336">
        <f>SUM(H917,H920)</f>
        <v>930495</v>
      </c>
      <c r="I916" s="2336">
        <f>SUM(I917,I920)</f>
        <v>0</v>
      </c>
      <c r="J916" s="2337">
        <f>SUM(J917,J920)</f>
        <v>0</v>
      </c>
    </row>
    <row r="917" spans="1:10" s="2369" customFormat="1" ht="22.5" hidden="1">
      <c r="A917" s="3131"/>
      <c r="B917" s="3134"/>
      <c r="C917" s="3140"/>
      <c r="D917" s="3140"/>
      <c r="E917" s="2347" t="s">
        <v>1136</v>
      </c>
      <c r="F917" s="2348">
        <f>SUM(F918:F919)</f>
        <v>0</v>
      </c>
      <c r="G917" s="2348">
        <f>SUM(G918:G919)</f>
        <v>0</v>
      </c>
      <c r="H917" s="2348">
        <f>SUM(H918:H919)</f>
        <v>0</v>
      </c>
      <c r="I917" s="2348">
        <f>SUM(I918:I919)</f>
        <v>0</v>
      </c>
      <c r="J917" s="2349">
        <f>SUM(J918:J919)</f>
        <v>0</v>
      </c>
    </row>
    <row r="918" spans="1:10" s="2369" customFormat="1" ht="15" hidden="1" customHeight="1">
      <c r="A918" s="3131"/>
      <c r="B918" s="3134"/>
      <c r="C918" s="3140"/>
      <c r="D918" s="3140"/>
      <c r="E918" s="2338"/>
      <c r="F918" s="2339">
        <f>SUM(G918:J918)</f>
        <v>0</v>
      </c>
      <c r="G918" s="2339"/>
      <c r="H918" s="2339"/>
      <c r="I918" s="2339"/>
      <c r="J918" s="2340"/>
    </row>
    <row r="919" spans="1:10" s="2369" customFormat="1" ht="15" hidden="1" customHeight="1">
      <c r="A919" s="3131"/>
      <c r="B919" s="3134"/>
      <c r="C919" s="3140"/>
      <c r="D919" s="3140"/>
      <c r="E919" s="2338"/>
      <c r="F919" s="2339">
        <f>SUM(G919:J919)</f>
        <v>0</v>
      </c>
      <c r="G919" s="2339"/>
      <c r="H919" s="2339"/>
      <c r="I919" s="2339"/>
      <c r="J919" s="2340"/>
    </row>
    <row r="920" spans="1:10" s="2369" customFormat="1" ht="22.5">
      <c r="A920" s="3131"/>
      <c r="B920" s="3134"/>
      <c r="C920" s="3140"/>
      <c r="D920" s="3140"/>
      <c r="E920" s="2347" t="s">
        <v>1137</v>
      </c>
      <c r="F920" s="2348">
        <f>SUM(F921:F922)</f>
        <v>1094700</v>
      </c>
      <c r="G920" s="2348">
        <f>SUM(G921:G922)</f>
        <v>164205</v>
      </c>
      <c r="H920" s="2348">
        <f>SUM(H921:H922)</f>
        <v>930495</v>
      </c>
      <c r="I920" s="2348">
        <f>SUM(I921:I922)</f>
        <v>0</v>
      </c>
      <c r="J920" s="2349">
        <f>SUM(J921:J922)</f>
        <v>0</v>
      </c>
    </row>
    <row r="921" spans="1:10" s="2369" customFormat="1" ht="15" customHeight="1">
      <c r="A921" s="3131"/>
      <c r="B921" s="3134"/>
      <c r="C921" s="3140"/>
      <c r="D921" s="3140"/>
      <c r="E921" s="2338" t="s">
        <v>601</v>
      </c>
      <c r="F921" s="2339">
        <f>SUM(G921:J921)</f>
        <v>930495</v>
      </c>
      <c r="G921" s="2339"/>
      <c r="H921" s="2339">
        <v>930495</v>
      </c>
      <c r="I921" s="2339"/>
      <c r="J921" s="2340"/>
    </row>
    <row r="922" spans="1:10" s="2369" customFormat="1" ht="15" customHeight="1">
      <c r="A922" s="3131"/>
      <c r="B922" s="3134"/>
      <c r="C922" s="3140"/>
      <c r="D922" s="3140"/>
      <c r="E922" s="2338" t="s">
        <v>558</v>
      </c>
      <c r="F922" s="2339">
        <f>SUM(G922:J922)</f>
        <v>164205</v>
      </c>
      <c r="G922" s="2339">
        <v>164205</v>
      </c>
      <c r="H922" s="2339"/>
      <c r="I922" s="2339"/>
      <c r="J922" s="2340"/>
    </row>
    <row r="923" spans="1:10" s="2369" customFormat="1" ht="15" customHeight="1">
      <c r="A923" s="3132"/>
      <c r="B923" s="3135"/>
      <c r="C923" s="3141"/>
      <c r="D923" s="3141"/>
      <c r="E923" s="2341" t="s">
        <v>1130</v>
      </c>
      <c r="F923" s="2336">
        <f>SUM(F924:F924)</f>
        <v>0</v>
      </c>
      <c r="G923" s="2336">
        <f>SUM(G924:G924)</f>
        <v>0</v>
      </c>
      <c r="H923" s="2336">
        <f>SUM(H924:H924)</f>
        <v>0</v>
      </c>
      <c r="I923" s="2336">
        <f>SUM(I924:I924)</f>
        <v>0</v>
      </c>
      <c r="J923" s="2337">
        <f>SUM(J924:J924)</f>
        <v>0</v>
      </c>
    </row>
    <row r="924" spans="1:10" s="2369" customFormat="1" ht="15" hidden="1" customHeight="1">
      <c r="A924" s="2345"/>
      <c r="B924" s="2346"/>
      <c r="C924" s="2373"/>
      <c r="D924" s="2373"/>
      <c r="E924" s="2338"/>
      <c r="F924" s="2339">
        <f>SUM(G924:J924)</f>
        <v>0</v>
      </c>
      <c r="G924" s="2339"/>
      <c r="H924" s="2339"/>
      <c r="I924" s="2339">
        <f>223000-223000</f>
        <v>0</v>
      </c>
      <c r="J924" s="2340"/>
    </row>
    <row r="925" spans="1:10" s="2369" customFormat="1" ht="30" customHeight="1">
      <c r="A925" s="2326" t="s">
        <v>1219</v>
      </c>
      <c r="B925" s="3126" t="s">
        <v>1220</v>
      </c>
      <c r="C925" s="3126"/>
      <c r="D925" s="3126"/>
      <c r="E925" s="3126"/>
      <c r="F925" s="2380">
        <f>F927</f>
        <v>1162351</v>
      </c>
      <c r="G925" s="2380">
        <f t="shared" ref="G925:J925" si="103">G927</f>
        <v>174353</v>
      </c>
      <c r="H925" s="2380">
        <f t="shared" si="103"/>
        <v>987998</v>
      </c>
      <c r="I925" s="2380">
        <f t="shared" si="103"/>
        <v>0</v>
      </c>
      <c r="J925" s="2381">
        <f t="shared" si="103"/>
        <v>0</v>
      </c>
    </row>
    <row r="926" spans="1:10" s="2369" customFormat="1" ht="15" customHeight="1">
      <c r="A926" s="3142"/>
      <c r="B926" s="3143"/>
      <c r="C926" s="3143"/>
      <c r="D926" s="3143"/>
      <c r="E926" s="3143"/>
      <c r="F926" s="3143"/>
      <c r="G926" s="3143"/>
      <c r="H926" s="3143"/>
      <c r="I926" s="3143"/>
      <c r="J926" s="3144"/>
    </row>
    <row r="927" spans="1:10" s="2369" customFormat="1" ht="22.5">
      <c r="A927" s="3130" t="s">
        <v>1127</v>
      </c>
      <c r="B927" s="3133" t="s">
        <v>1221</v>
      </c>
      <c r="C927" s="3139" t="s">
        <v>201</v>
      </c>
      <c r="D927" s="3139" t="s">
        <v>910</v>
      </c>
      <c r="E927" s="2330" t="s">
        <v>1129</v>
      </c>
      <c r="F927" s="2331">
        <f>SUM(F928,F935)</f>
        <v>1162351</v>
      </c>
      <c r="G927" s="2331">
        <f>SUM(G928,G935)</f>
        <v>174353</v>
      </c>
      <c r="H927" s="2331">
        <f>SUM(H928,H935)</f>
        <v>987998</v>
      </c>
      <c r="I927" s="2331">
        <f>SUM(I928,I935)</f>
        <v>0</v>
      </c>
      <c r="J927" s="2332">
        <f>SUM(J928,J935)</f>
        <v>0</v>
      </c>
    </row>
    <row r="928" spans="1:10" s="2369" customFormat="1" ht="15" customHeight="1">
      <c r="A928" s="3131"/>
      <c r="B928" s="3134"/>
      <c r="C928" s="3140"/>
      <c r="D928" s="3140"/>
      <c r="E928" s="2335" t="s">
        <v>685</v>
      </c>
      <c r="F928" s="2336">
        <f>SUM(F929,F932)</f>
        <v>1162351</v>
      </c>
      <c r="G928" s="2336">
        <f>SUM(G929,G932)</f>
        <v>174353</v>
      </c>
      <c r="H928" s="2336">
        <f>SUM(H929,H932)</f>
        <v>987998</v>
      </c>
      <c r="I928" s="2336">
        <f>SUM(I929,I932)</f>
        <v>0</v>
      </c>
      <c r="J928" s="2337">
        <f>SUM(J929,J932)</f>
        <v>0</v>
      </c>
    </row>
    <row r="929" spans="1:15" s="2369" customFormat="1" ht="22.5" hidden="1">
      <c r="A929" s="3131"/>
      <c r="B929" s="3134"/>
      <c r="C929" s="3140"/>
      <c r="D929" s="3140"/>
      <c r="E929" s="2347" t="s">
        <v>1136</v>
      </c>
      <c r="F929" s="2348">
        <f>SUM(F930:F931)</f>
        <v>0</v>
      </c>
      <c r="G929" s="2348">
        <f>SUM(G930:G931)</f>
        <v>0</v>
      </c>
      <c r="H929" s="2348">
        <f>SUM(H930:H931)</f>
        <v>0</v>
      </c>
      <c r="I929" s="2348">
        <f>SUM(I930:I931)</f>
        <v>0</v>
      </c>
      <c r="J929" s="2349">
        <f>SUM(J930:J931)</f>
        <v>0</v>
      </c>
    </row>
    <row r="930" spans="1:15" s="2369" customFormat="1" ht="15" hidden="1" customHeight="1">
      <c r="A930" s="3131"/>
      <c r="B930" s="3134"/>
      <c r="C930" s="3140"/>
      <c r="D930" s="3140"/>
      <c r="E930" s="2338"/>
      <c r="F930" s="2339">
        <f>SUM(G930:J930)</f>
        <v>0</v>
      </c>
      <c r="G930" s="2339"/>
      <c r="H930" s="2339"/>
      <c r="I930" s="2339"/>
      <c r="J930" s="2340"/>
    </row>
    <row r="931" spans="1:15" s="2369" customFormat="1" ht="15" hidden="1" customHeight="1">
      <c r="A931" s="3131"/>
      <c r="B931" s="3134"/>
      <c r="C931" s="3140"/>
      <c r="D931" s="3140"/>
      <c r="E931" s="2338"/>
      <c r="F931" s="2339">
        <f>SUM(G931:J931)</f>
        <v>0</v>
      </c>
      <c r="G931" s="2339"/>
      <c r="H931" s="2339"/>
      <c r="I931" s="2339"/>
      <c r="J931" s="2340"/>
    </row>
    <row r="932" spans="1:15" s="2369" customFormat="1" ht="22.5">
      <c r="A932" s="3131"/>
      <c r="B932" s="3134"/>
      <c r="C932" s="3140"/>
      <c r="D932" s="3140"/>
      <c r="E932" s="2347" t="s">
        <v>1137</v>
      </c>
      <c r="F932" s="2348">
        <f>SUM(F933:F934)</f>
        <v>1162351</v>
      </c>
      <c r="G932" s="2348">
        <f>SUM(G933:G934)</f>
        <v>174353</v>
      </c>
      <c r="H932" s="2348">
        <f>SUM(H933:H934)</f>
        <v>987998</v>
      </c>
      <c r="I932" s="2348">
        <f>SUM(I933:I934)</f>
        <v>0</v>
      </c>
      <c r="J932" s="2349">
        <f>SUM(J933:J934)</f>
        <v>0</v>
      </c>
    </row>
    <row r="933" spans="1:15" s="2369" customFormat="1" ht="15" customHeight="1">
      <c r="A933" s="3131"/>
      <c r="B933" s="3134"/>
      <c r="C933" s="3140"/>
      <c r="D933" s="3140"/>
      <c r="E933" s="2338" t="s">
        <v>601</v>
      </c>
      <c r="F933" s="2339">
        <f>SUM(G933:J933)</f>
        <v>987998</v>
      </c>
      <c r="G933" s="2339"/>
      <c r="H933" s="2339">
        <v>987998</v>
      </c>
      <c r="I933" s="2339"/>
      <c r="J933" s="2340"/>
    </row>
    <row r="934" spans="1:15" s="2369" customFormat="1" ht="15" customHeight="1">
      <c r="A934" s="3131"/>
      <c r="B934" s="3134"/>
      <c r="C934" s="3140"/>
      <c r="D934" s="3140"/>
      <c r="E934" s="2338" t="s">
        <v>558</v>
      </c>
      <c r="F934" s="2339">
        <f>SUM(G934:J934)</f>
        <v>174353</v>
      </c>
      <c r="G934" s="2339">
        <v>174353</v>
      </c>
      <c r="H934" s="2339"/>
      <c r="I934" s="2339"/>
      <c r="J934" s="2340"/>
    </row>
    <row r="935" spans="1:15" s="2369" customFormat="1" ht="15" customHeight="1">
      <c r="A935" s="3132"/>
      <c r="B935" s="3135"/>
      <c r="C935" s="3141"/>
      <c r="D935" s="3141"/>
      <c r="E935" s="2341" t="s">
        <v>1130</v>
      </c>
      <c r="F935" s="2336">
        <f>SUM(F936:F936)</f>
        <v>0</v>
      </c>
      <c r="G935" s="2336">
        <f>SUM(G936:G936)</f>
        <v>0</v>
      </c>
      <c r="H935" s="2336">
        <f>SUM(H936:H936)</f>
        <v>0</v>
      </c>
      <c r="I935" s="2336">
        <f>SUM(I936:I936)</f>
        <v>0</v>
      </c>
      <c r="J935" s="2337">
        <f>SUM(J936:J936)</f>
        <v>0</v>
      </c>
    </row>
    <row r="936" spans="1:15" s="2333" customFormat="1" ht="15" hidden="1" customHeight="1">
      <c r="A936" s="2350"/>
      <c r="B936" s="2351"/>
      <c r="C936" s="2353"/>
      <c r="D936" s="2353"/>
      <c r="E936" s="2354"/>
      <c r="F936" s="2355">
        <f>SUM(G936:J936)</f>
        <v>0</v>
      </c>
      <c r="G936" s="2355"/>
      <c r="H936" s="2355"/>
      <c r="I936" s="2355">
        <f>223000-223000</f>
        <v>0</v>
      </c>
      <c r="J936" s="2356"/>
    </row>
    <row r="937" spans="1:15" s="2333" customFormat="1" ht="30" customHeight="1">
      <c r="A937" s="2326" t="s">
        <v>1222</v>
      </c>
      <c r="B937" s="3145" t="s">
        <v>1223</v>
      </c>
      <c r="C937" s="3145"/>
      <c r="D937" s="3145"/>
      <c r="E937" s="3145"/>
      <c r="F937" s="2380">
        <f>F939</f>
        <v>3747721</v>
      </c>
      <c r="G937" s="2380">
        <f t="shared" ref="G937:J937" si="104">G939</f>
        <v>373891</v>
      </c>
      <c r="H937" s="2380">
        <f t="shared" si="104"/>
        <v>3094968</v>
      </c>
      <c r="I937" s="2380">
        <f t="shared" si="104"/>
        <v>278862</v>
      </c>
      <c r="J937" s="2381">
        <f t="shared" si="104"/>
        <v>0</v>
      </c>
    </row>
    <row r="938" spans="1:15" s="2333" customFormat="1" ht="15" customHeight="1">
      <c r="A938" s="3142"/>
      <c r="B938" s="3143"/>
      <c r="C938" s="3143"/>
      <c r="D938" s="3143"/>
      <c r="E938" s="3143"/>
      <c r="F938" s="3143"/>
      <c r="G938" s="3143"/>
      <c r="H938" s="3143"/>
      <c r="I938" s="3143"/>
      <c r="J938" s="3144"/>
    </row>
    <row r="939" spans="1:15" s="2333" customFormat="1" ht="22.5">
      <c r="A939" s="3115" t="s">
        <v>1127</v>
      </c>
      <c r="B939" s="3116" t="s">
        <v>1224</v>
      </c>
      <c r="C939" s="3117">
        <v>710</v>
      </c>
      <c r="D939" s="3118" t="s">
        <v>665</v>
      </c>
      <c r="E939" s="2330" t="s">
        <v>1129</v>
      </c>
      <c r="F939" s="2331">
        <f>SUM(F940,F950)</f>
        <v>3747721</v>
      </c>
      <c r="G939" s="2331">
        <f>SUM(G940,G950)</f>
        <v>373891</v>
      </c>
      <c r="H939" s="2331">
        <f>SUM(H940,H950)</f>
        <v>3094968</v>
      </c>
      <c r="I939" s="2331">
        <f>SUM(I940,I950)</f>
        <v>278862</v>
      </c>
      <c r="J939" s="2332">
        <f>SUM(J940,J950)</f>
        <v>0</v>
      </c>
      <c r="K939" s="2371"/>
      <c r="L939" s="2371"/>
      <c r="M939" s="2371"/>
      <c r="N939" s="2371"/>
      <c r="O939" s="2371"/>
    </row>
    <row r="940" spans="1:15" s="2333" customFormat="1" ht="15" customHeight="1">
      <c r="A940" s="3115"/>
      <c r="B940" s="3116"/>
      <c r="C940" s="3117"/>
      <c r="D940" s="3118"/>
      <c r="E940" s="2335" t="s">
        <v>685</v>
      </c>
      <c r="F940" s="2336">
        <f>SUM(F941,F944)</f>
        <v>1364535</v>
      </c>
      <c r="G940" s="2336">
        <f>SUM(G941,G944)</f>
        <v>16412</v>
      </c>
      <c r="H940" s="2336">
        <f>SUM(H941,H944)</f>
        <v>1069261</v>
      </c>
      <c r="I940" s="2336">
        <f>SUM(I941,I944)</f>
        <v>278862</v>
      </c>
      <c r="J940" s="2337">
        <f>SUM(J941,J944)</f>
        <v>0</v>
      </c>
      <c r="K940" s="2370"/>
      <c r="L940" s="2334"/>
      <c r="M940" s="2370"/>
      <c r="N940" s="2334"/>
      <c r="O940" s="2370"/>
    </row>
    <row r="941" spans="1:15" s="2333" customFormat="1" ht="22.5" hidden="1">
      <c r="A941" s="3115"/>
      <c r="B941" s="3116"/>
      <c r="C941" s="3117"/>
      <c r="D941" s="3118"/>
      <c r="E941" s="2347" t="s">
        <v>1136</v>
      </c>
      <c r="F941" s="2348">
        <f>SUM(F942:F943)</f>
        <v>0</v>
      </c>
      <c r="G941" s="2348">
        <f>SUM(G942:G943)</f>
        <v>0</v>
      </c>
      <c r="H941" s="2348">
        <f>SUM(H942:H943)</f>
        <v>0</v>
      </c>
      <c r="I941" s="2348">
        <f>SUM(I942:I943)</f>
        <v>0</v>
      </c>
      <c r="J941" s="2349">
        <f>SUM(J942:J943)</f>
        <v>0</v>
      </c>
      <c r="K941" s="2369"/>
      <c r="L941" s="2369"/>
      <c r="M941" s="2369"/>
      <c r="N941" s="2369"/>
      <c r="O941" s="2369"/>
    </row>
    <row r="942" spans="1:15" s="2333" customFormat="1" ht="15" hidden="1" customHeight="1">
      <c r="A942" s="3115"/>
      <c r="B942" s="3116"/>
      <c r="C942" s="3117"/>
      <c r="D942" s="3118"/>
      <c r="E942" s="2338"/>
      <c r="F942" s="2339">
        <f>SUM(G942:J942)</f>
        <v>0</v>
      </c>
      <c r="G942" s="2339"/>
      <c r="H942" s="2339"/>
      <c r="I942" s="2339"/>
      <c r="J942" s="2340"/>
      <c r="K942" s="2369"/>
      <c r="L942" s="2369"/>
      <c r="M942" s="2369"/>
      <c r="N942" s="2369"/>
      <c r="O942" s="2369"/>
    </row>
    <row r="943" spans="1:15" s="2333" customFormat="1" ht="15" hidden="1" customHeight="1">
      <c r="A943" s="3115"/>
      <c r="B943" s="3116"/>
      <c r="C943" s="3117"/>
      <c r="D943" s="3118"/>
      <c r="E943" s="2338"/>
      <c r="F943" s="2339">
        <f>SUM(G943:J943)</f>
        <v>0</v>
      </c>
      <c r="G943" s="2339"/>
      <c r="H943" s="2339"/>
      <c r="I943" s="2339"/>
      <c r="J943" s="2340"/>
      <c r="K943" s="2369"/>
      <c r="L943" s="2369"/>
      <c r="M943" s="2369"/>
      <c r="N943" s="2369"/>
      <c r="O943" s="2369"/>
    </row>
    <row r="944" spans="1:15" s="2333" customFormat="1" ht="22.5">
      <c r="A944" s="3115"/>
      <c r="B944" s="3116"/>
      <c r="C944" s="3117"/>
      <c r="D944" s="3118"/>
      <c r="E944" s="2347" t="s">
        <v>1137</v>
      </c>
      <c r="F944" s="2348">
        <f>SUM(F945:F949)</f>
        <v>1364535</v>
      </c>
      <c r="G944" s="2348">
        <f>SUM(G945:G949)</f>
        <v>16412</v>
      </c>
      <c r="H944" s="2348">
        <f>SUM(H945:H949)</f>
        <v>1069261</v>
      </c>
      <c r="I944" s="2348">
        <f>SUM(I945:I949)</f>
        <v>278862</v>
      </c>
      <c r="J944" s="2349">
        <f>SUM(J945:J949)</f>
        <v>0</v>
      </c>
      <c r="K944" s="2369"/>
      <c r="L944" s="2369"/>
      <c r="M944" s="2369"/>
      <c r="N944" s="2369"/>
      <c r="O944" s="2369"/>
    </row>
    <row r="945" spans="1:15" s="2333" customFormat="1" ht="15" hidden="1" customHeight="1">
      <c r="A945" s="3115"/>
      <c r="B945" s="3116"/>
      <c r="C945" s="3117"/>
      <c r="D945" s="3118"/>
      <c r="E945" s="2338" t="s">
        <v>305</v>
      </c>
      <c r="F945" s="2339">
        <f>SUM(G945:J945)</f>
        <v>0</v>
      </c>
      <c r="G945" s="2339"/>
      <c r="H945" s="2339"/>
      <c r="I945" s="2339"/>
      <c r="J945" s="2340"/>
      <c r="K945" s="2369"/>
      <c r="L945" s="2369"/>
      <c r="M945" s="2369"/>
      <c r="N945" s="2369"/>
      <c r="O945" s="2369"/>
    </row>
    <row r="946" spans="1:15" s="2333" customFormat="1" ht="15" hidden="1" customHeight="1">
      <c r="A946" s="3115"/>
      <c r="B946" s="3116"/>
      <c r="C946" s="3117"/>
      <c r="D946" s="3118"/>
      <c r="E946" s="2338" t="s">
        <v>589</v>
      </c>
      <c r="F946" s="2339">
        <f t="shared" ref="F946:F947" si="105">SUM(G946:J946)</f>
        <v>0</v>
      </c>
      <c r="G946" s="2339"/>
      <c r="H946" s="2339"/>
      <c r="I946" s="2339"/>
      <c r="J946" s="2340"/>
      <c r="K946" s="2369"/>
      <c r="L946" s="2369"/>
      <c r="M946" s="2369"/>
      <c r="N946" s="2369"/>
      <c r="O946" s="2369"/>
    </row>
    <row r="947" spans="1:15" s="2333" customFormat="1" ht="15" hidden="1" customHeight="1">
      <c r="A947" s="3115"/>
      <c r="B947" s="3116"/>
      <c r="C947" s="3117"/>
      <c r="D947" s="3118"/>
      <c r="E947" s="2338" t="s">
        <v>496</v>
      </c>
      <c r="F947" s="2339">
        <f t="shared" si="105"/>
        <v>0</v>
      </c>
      <c r="G947" s="2339"/>
      <c r="H947" s="2339"/>
      <c r="I947" s="2339"/>
      <c r="J947" s="2340"/>
      <c r="K947" s="2369"/>
      <c r="L947" s="2369"/>
      <c r="M947" s="2369"/>
      <c r="N947" s="2369"/>
      <c r="O947" s="2369"/>
    </row>
    <row r="948" spans="1:15" s="2333" customFormat="1" ht="15" customHeight="1">
      <c r="A948" s="3115"/>
      <c r="B948" s="3116"/>
      <c r="C948" s="3117"/>
      <c r="D948" s="3118"/>
      <c r="E948" s="2338" t="s">
        <v>601</v>
      </c>
      <c r="F948" s="2339">
        <f>SUM(G948:J948)</f>
        <v>1069261</v>
      </c>
      <c r="G948" s="2339"/>
      <c r="H948" s="2339">
        <v>1069261</v>
      </c>
      <c r="I948" s="2339"/>
      <c r="J948" s="2340"/>
      <c r="K948" s="2369"/>
      <c r="L948" s="2369"/>
      <c r="M948" s="2369"/>
      <c r="N948" s="2369"/>
      <c r="O948" s="2369"/>
    </row>
    <row r="949" spans="1:15" s="2333" customFormat="1" ht="15" customHeight="1">
      <c r="A949" s="3115"/>
      <c r="B949" s="3116"/>
      <c r="C949" s="3117"/>
      <c r="D949" s="3118"/>
      <c r="E949" s="2338" t="s">
        <v>558</v>
      </c>
      <c r="F949" s="2339">
        <f>SUM(G949:J949)</f>
        <v>295274</v>
      </c>
      <c r="G949" s="2339">
        <v>16412</v>
      </c>
      <c r="H949" s="2339"/>
      <c r="I949" s="2339">
        <v>278862</v>
      </c>
      <c r="J949" s="2340"/>
      <c r="K949" s="2369"/>
      <c r="L949" s="2369"/>
      <c r="M949" s="2369"/>
      <c r="N949" s="2369"/>
      <c r="O949" s="2369"/>
    </row>
    <row r="950" spans="1:15" s="2333" customFormat="1" ht="15" customHeight="1">
      <c r="A950" s="3115"/>
      <c r="B950" s="3116"/>
      <c r="C950" s="3117">
        <v>720</v>
      </c>
      <c r="D950" s="3118" t="s">
        <v>669</v>
      </c>
      <c r="E950" s="2341" t="s">
        <v>1130</v>
      </c>
      <c r="F950" s="2336">
        <f>SUM(F951:F953)</f>
        <v>2383186</v>
      </c>
      <c r="G950" s="2336">
        <f t="shared" ref="G950:I950" si="106">SUM(G951:G953)</f>
        <v>357479</v>
      </c>
      <c r="H950" s="2336">
        <f t="shared" si="106"/>
        <v>2025707</v>
      </c>
      <c r="I950" s="2336">
        <f t="shared" si="106"/>
        <v>0</v>
      </c>
      <c r="J950" s="2337">
        <f>SUM(J951:J953)</f>
        <v>0</v>
      </c>
      <c r="K950" s="2370"/>
      <c r="L950" s="2370"/>
      <c r="M950" s="2370"/>
      <c r="N950" s="2370"/>
      <c r="O950" s="2370"/>
    </row>
    <row r="951" spans="1:15" s="2333" customFormat="1" ht="15" hidden="1" customHeight="1">
      <c r="A951" s="3115"/>
      <c r="B951" s="3116"/>
      <c r="C951" s="3117"/>
      <c r="D951" s="3118"/>
      <c r="E951" s="2338" t="s">
        <v>531</v>
      </c>
      <c r="F951" s="2339">
        <f>SUM(G951:J951)</f>
        <v>0</v>
      </c>
      <c r="G951" s="2339"/>
      <c r="H951" s="2339"/>
      <c r="I951" s="2339"/>
      <c r="J951" s="2340"/>
      <c r="K951" s="2369"/>
      <c r="L951" s="2369"/>
      <c r="M951" s="2369"/>
      <c r="N951" s="2369"/>
      <c r="O951" s="2369"/>
    </row>
    <row r="952" spans="1:15" s="2333" customFormat="1" ht="15" customHeight="1">
      <c r="A952" s="3115"/>
      <c r="B952" s="3116"/>
      <c r="C952" s="3117"/>
      <c r="D952" s="3118"/>
      <c r="E952" s="2338" t="s">
        <v>625</v>
      </c>
      <c r="F952" s="2339">
        <f>SUM(G952:J952)</f>
        <v>2025707</v>
      </c>
      <c r="G952" s="2339"/>
      <c r="H952" s="2339">
        <v>2025707</v>
      </c>
      <c r="I952" s="2339"/>
      <c r="J952" s="2340"/>
      <c r="K952" s="2369"/>
      <c r="L952" s="2369"/>
      <c r="M952" s="2369"/>
      <c r="N952" s="2369"/>
      <c r="O952" s="2369"/>
    </row>
    <row r="953" spans="1:15" s="2333" customFormat="1" ht="15" customHeight="1">
      <c r="A953" s="3115"/>
      <c r="B953" s="3116"/>
      <c r="C953" s="3117"/>
      <c r="D953" s="3118"/>
      <c r="E953" s="2338" t="s">
        <v>626</v>
      </c>
      <c r="F953" s="2339">
        <f>SUM(G953:J953)</f>
        <v>357479</v>
      </c>
      <c r="G953" s="2339">
        <v>357479</v>
      </c>
      <c r="H953" s="2339"/>
      <c r="I953" s="2339"/>
      <c r="J953" s="2340"/>
      <c r="K953" s="2369"/>
      <c r="L953" s="2369"/>
      <c r="M953" s="2369"/>
      <c r="N953" s="2369"/>
      <c r="O953" s="2369"/>
    </row>
    <row r="954" spans="1:15" s="2369" customFormat="1" ht="30" customHeight="1">
      <c r="A954" s="2326" t="s">
        <v>1225</v>
      </c>
      <c r="B954" s="3145" t="s">
        <v>1226</v>
      </c>
      <c r="C954" s="3145"/>
      <c r="D954" s="3145"/>
      <c r="E954" s="3145"/>
      <c r="F954" s="2380">
        <f>F956</f>
        <v>13578</v>
      </c>
      <c r="G954" s="2380">
        <f t="shared" ref="G954:J954" si="107">G956</f>
        <v>0</v>
      </c>
      <c r="H954" s="2380">
        <f t="shared" si="107"/>
        <v>12803</v>
      </c>
      <c r="I954" s="2380">
        <f t="shared" si="107"/>
        <v>775</v>
      </c>
      <c r="J954" s="2381">
        <f t="shared" si="107"/>
        <v>0</v>
      </c>
    </row>
    <row r="955" spans="1:15" s="2369" customFormat="1" ht="15" customHeight="1">
      <c r="A955" s="3142"/>
      <c r="B955" s="3143"/>
      <c r="C955" s="3143"/>
      <c r="D955" s="3143"/>
      <c r="E955" s="3143"/>
      <c r="F955" s="3143"/>
      <c r="G955" s="3143"/>
      <c r="H955" s="3143"/>
      <c r="I955" s="3143"/>
      <c r="J955" s="3144"/>
    </row>
    <row r="956" spans="1:15" s="2369" customFormat="1" ht="22.5" customHeight="1">
      <c r="A956" s="3115" t="s">
        <v>1127</v>
      </c>
      <c r="B956" s="3116" t="s">
        <v>1227</v>
      </c>
      <c r="C956" s="3117">
        <v>750</v>
      </c>
      <c r="D956" s="3118" t="s">
        <v>712</v>
      </c>
      <c r="E956" s="2330" t="s">
        <v>1129</v>
      </c>
      <c r="F956" s="2331">
        <f>SUM(F957,F976)</f>
        <v>13578</v>
      </c>
      <c r="G956" s="2331">
        <f>SUM(G957,G976)</f>
        <v>0</v>
      </c>
      <c r="H956" s="2331">
        <f>SUM(H957,H976)</f>
        <v>12803</v>
      </c>
      <c r="I956" s="2331">
        <f>SUM(I957,I976)</f>
        <v>775</v>
      </c>
      <c r="J956" s="2332">
        <f>SUM(J957,J976)</f>
        <v>0</v>
      </c>
      <c r="K956" s="2371"/>
      <c r="L956" s="2371"/>
      <c r="M956" s="2371"/>
      <c r="N956" s="2371"/>
      <c r="O956" s="2371"/>
    </row>
    <row r="957" spans="1:15" s="2369" customFormat="1" ht="15" customHeight="1">
      <c r="A957" s="3115"/>
      <c r="B957" s="3116"/>
      <c r="C957" s="3117"/>
      <c r="D957" s="3118"/>
      <c r="E957" s="2335" t="s">
        <v>685</v>
      </c>
      <c r="F957" s="2336">
        <f>SUM(F958,F965)</f>
        <v>13578</v>
      </c>
      <c r="G957" s="2336">
        <f>SUM(G958,G965)</f>
        <v>0</v>
      </c>
      <c r="H957" s="2336">
        <f>SUM(H958,H965)</f>
        <v>12803</v>
      </c>
      <c r="I957" s="2336">
        <f>SUM(I958,I965)</f>
        <v>775</v>
      </c>
      <c r="J957" s="2337">
        <f>SUM(J958,J965)</f>
        <v>0</v>
      </c>
      <c r="K957" s="2370"/>
      <c r="L957" s="2370"/>
      <c r="M957" s="2370"/>
      <c r="N957" s="2370"/>
      <c r="O957" s="2370"/>
    </row>
    <row r="958" spans="1:15" s="2369" customFormat="1" ht="22.5">
      <c r="A958" s="3115"/>
      <c r="B958" s="3116"/>
      <c r="C958" s="3117"/>
      <c r="D958" s="3118"/>
      <c r="E958" s="2347" t="s">
        <v>1136</v>
      </c>
      <c r="F958" s="2348">
        <f>SUM(F959:F964)</f>
        <v>3614</v>
      </c>
      <c r="G958" s="2348">
        <f t="shared" ref="G958:J958" si="108">SUM(G959:G964)</f>
        <v>0</v>
      </c>
      <c r="H958" s="2348">
        <f t="shared" si="108"/>
        <v>3408</v>
      </c>
      <c r="I958" s="2348">
        <f t="shared" si="108"/>
        <v>206</v>
      </c>
      <c r="J958" s="2349">
        <f t="shared" si="108"/>
        <v>0</v>
      </c>
      <c r="K958" s="2370"/>
      <c r="L958" s="2370"/>
      <c r="M958" s="2370"/>
      <c r="N958" s="2370"/>
      <c r="O958" s="2370"/>
    </row>
    <row r="959" spans="1:15" s="2369" customFormat="1" ht="15" customHeight="1">
      <c r="A959" s="3115"/>
      <c r="B959" s="3116"/>
      <c r="C959" s="3117"/>
      <c r="D959" s="3118"/>
      <c r="E959" s="2338" t="s">
        <v>596</v>
      </c>
      <c r="F959" s="2339">
        <f>SUM(G959:J959)</f>
        <v>2849</v>
      </c>
      <c r="G959" s="2339"/>
      <c r="H959" s="2339">
        <v>2849</v>
      </c>
      <c r="I959" s="2339"/>
      <c r="J959" s="2340"/>
    </row>
    <row r="960" spans="1:15" s="2369" customFormat="1" ht="15" customHeight="1">
      <c r="A960" s="3115"/>
      <c r="B960" s="3116"/>
      <c r="C960" s="3117"/>
      <c r="D960" s="3118"/>
      <c r="E960" s="2338" t="s">
        <v>541</v>
      </c>
      <c r="F960" s="2339">
        <f t="shared" ref="F960:F964" si="109">SUM(G960:J960)</f>
        <v>172</v>
      </c>
      <c r="G960" s="2339"/>
      <c r="H960" s="2339"/>
      <c r="I960" s="2339">
        <v>172</v>
      </c>
      <c r="J960" s="2340"/>
    </row>
    <row r="961" spans="1:14" s="2369" customFormat="1" ht="15" customHeight="1">
      <c r="A961" s="3115"/>
      <c r="B961" s="3116"/>
      <c r="C961" s="3117"/>
      <c r="D961" s="3118"/>
      <c r="E961" s="2338" t="s">
        <v>598</v>
      </c>
      <c r="F961" s="2339">
        <f t="shared" si="109"/>
        <v>489</v>
      </c>
      <c r="G961" s="2339"/>
      <c r="H961" s="2339">
        <v>489</v>
      </c>
      <c r="I961" s="2339"/>
      <c r="J961" s="2340"/>
    </row>
    <row r="962" spans="1:14" s="2369" customFormat="1" ht="15" customHeight="1">
      <c r="A962" s="3115"/>
      <c r="B962" s="3116"/>
      <c r="C962" s="3117"/>
      <c r="D962" s="3118"/>
      <c r="E962" s="2338" t="s">
        <v>545</v>
      </c>
      <c r="F962" s="2339">
        <f t="shared" si="109"/>
        <v>30</v>
      </c>
      <c r="G962" s="2339"/>
      <c r="H962" s="2339"/>
      <c r="I962" s="2339">
        <v>30</v>
      </c>
      <c r="J962" s="2340"/>
    </row>
    <row r="963" spans="1:14" s="2369" customFormat="1" ht="15" customHeight="1">
      <c r="A963" s="3115"/>
      <c r="B963" s="3116"/>
      <c r="C963" s="3117"/>
      <c r="D963" s="3118"/>
      <c r="E963" s="2338" t="s">
        <v>599</v>
      </c>
      <c r="F963" s="2339">
        <f t="shared" si="109"/>
        <v>70</v>
      </c>
      <c r="G963" s="2339"/>
      <c r="H963" s="2339">
        <v>70</v>
      </c>
      <c r="I963" s="2339"/>
      <c r="J963" s="2340"/>
    </row>
    <row r="964" spans="1:14" s="2369" customFormat="1" ht="15" customHeight="1">
      <c r="A964" s="3115"/>
      <c r="B964" s="3116"/>
      <c r="C964" s="3117"/>
      <c r="D964" s="3118"/>
      <c r="E964" s="2338" t="s">
        <v>547</v>
      </c>
      <c r="F964" s="2339">
        <f t="shared" si="109"/>
        <v>4</v>
      </c>
      <c r="G964" s="2339"/>
      <c r="H964" s="2339"/>
      <c r="I964" s="2339">
        <v>4</v>
      </c>
      <c r="J964" s="2340"/>
    </row>
    <row r="965" spans="1:14" s="2369" customFormat="1" ht="22.5">
      <c r="A965" s="3115"/>
      <c r="B965" s="3116"/>
      <c r="C965" s="3117"/>
      <c r="D965" s="3118"/>
      <c r="E965" s="2347" t="s">
        <v>1137</v>
      </c>
      <c r="F965" s="2348">
        <f>SUM(F966:F975)</f>
        <v>9964</v>
      </c>
      <c r="G965" s="2348">
        <f>SUM(G966:G975)</f>
        <v>0</v>
      </c>
      <c r="H965" s="2348">
        <f>SUM(H966:H975)</f>
        <v>9395</v>
      </c>
      <c r="I965" s="2348">
        <f>SUM(I966:I975)</f>
        <v>569</v>
      </c>
      <c r="J965" s="2349">
        <f>SUM(J966:J975)</f>
        <v>0</v>
      </c>
    </row>
    <row r="966" spans="1:14" s="2369" customFormat="1" ht="15" customHeight="1">
      <c r="A966" s="3115"/>
      <c r="B966" s="3116"/>
      <c r="C966" s="3117"/>
      <c r="D966" s="3118"/>
      <c r="E966" s="2338" t="s">
        <v>600</v>
      </c>
      <c r="F966" s="2339">
        <f>SUM(G966:J966)</f>
        <v>3026</v>
      </c>
      <c r="G966" s="2339"/>
      <c r="H966" s="2339">
        <v>3026</v>
      </c>
      <c r="I966" s="2339"/>
      <c r="J966" s="2340"/>
    </row>
    <row r="967" spans="1:14" s="2369" customFormat="1" ht="15" customHeight="1">
      <c r="A967" s="3115"/>
      <c r="B967" s="3116"/>
      <c r="C967" s="3117"/>
      <c r="D967" s="3118"/>
      <c r="E967" s="2338" t="s">
        <v>554</v>
      </c>
      <c r="F967" s="2339">
        <f t="shared" ref="F967:F975" si="110">SUM(G967:J967)</f>
        <v>183</v>
      </c>
      <c r="G967" s="2339"/>
      <c r="H967" s="2339"/>
      <c r="I967" s="2339">
        <v>183</v>
      </c>
      <c r="J967" s="2340"/>
    </row>
    <row r="968" spans="1:14" s="2369" customFormat="1" ht="15" customHeight="1">
      <c r="A968" s="3115"/>
      <c r="B968" s="3116"/>
      <c r="C968" s="3117"/>
      <c r="D968" s="3118"/>
      <c r="E968" s="2338" t="s">
        <v>786</v>
      </c>
      <c r="F968" s="2339">
        <f t="shared" si="110"/>
        <v>1084</v>
      </c>
      <c r="G968" s="2339"/>
      <c r="H968" s="2339">
        <v>1084</v>
      </c>
      <c r="I968" s="2339"/>
      <c r="J968" s="2340"/>
    </row>
    <row r="969" spans="1:14" s="2369" customFormat="1" ht="15" customHeight="1">
      <c r="A969" s="3115"/>
      <c r="B969" s="3116"/>
      <c r="C969" s="3117"/>
      <c r="D969" s="3118"/>
      <c r="E969" s="2338" t="s">
        <v>693</v>
      </c>
      <c r="F969" s="2339">
        <f t="shared" si="110"/>
        <v>66</v>
      </c>
      <c r="G969" s="2339"/>
      <c r="H969" s="2339"/>
      <c r="I969" s="2339">
        <v>66</v>
      </c>
      <c r="J969" s="2340"/>
    </row>
    <row r="970" spans="1:14" s="2369" customFormat="1" ht="15" customHeight="1">
      <c r="A970" s="3115"/>
      <c r="B970" s="3116"/>
      <c r="C970" s="3117"/>
      <c r="D970" s="3118"/>
      <c r="E970" s="2338" t="s">
        <v>601</v>
      </c>
      <c r="F970" s="2339">
        <f t="shared" si="110"/>
        <v>4368</v>
      </c>
      <c r="G970" s="2339"/>
      <c r="H970" s="2339">
        <v>4368</v>
      </c>
      <c r="I970" s="2339"/>
      <c r="J970" s="2340"/>
    </row>
    <row r="971" spans="1:14" s="2369" customFormat="1" ht="15" customHeight="1">
      <c r="A971" s="3115"/>
      <c r="B971" s="3116"/>
      <c r="C971" s="3117"/>
      <c r="D971" s="3118"/>
      <c r="E971" s="2338" t="s">
        <v>558</v>
      </c>
      <c r="F971" s="2339">
        <f t="shared" si="110"/>
        <v>264</v>
      </c>
      <c r="G971" s="2339"/>
      <c r="H971" s="2339"/>
      <c r="I971" s="2339">
        <v>264</v>
      </c>
      <c r="J971" s="2340"/>
    </row>
    <row r="972" spans="1:14" s="2369" customFormat="1" ht="15" customHeight="1">
      <c r="A972" s="3115"/>
      <c r="B972" s="3116"/>
      <c r="C972" s="3117"/>
      <c r="D972" s="3118"/>
      <c r="E972" s="2338" t="s">
        <v>602</v>
      </c>
      <c r="F972" s="2339">
        <f t="shared" si="110"/>
        <v>917</v>
      </c>
      <c r="G972" s="2339"/>
      <c r="H972" s="2339">
        <v>917</v>
      </c>
      <c r="I972" s="2339"/>
      <c r="J972" s="2340"/>
    </row>
    <row r="973" spans="1:14" s="2369" customFormat="1" ht="15" customHeight="1">
      <c r="A973" s="3115"/>
      <c r="B973" s="3116"/>
      <c r="C973" s="3117"/>
      <c r="D973" s="3118"/>
      <c r="E973" s="2338" t="s">
        <v>562</v>
      </c>
      <c r="F973" s="2339">
        <f t="shared" si="110"/>
        <v>56</v>
      </c>
      <c r="G973" s="2339"/>
      <c r="H973" s="2339"/>
      <c r="I973" s="2339">
        <v>56</v>
      </c>
      <c r="J973" s="2340"/>
    </row>
    <row r="974" spans="1:14" s="2369" customFormat="1" ht="15" hidden="1" customHeight="1">
      <c r="A974" s="3115"/>
      <c r="B974" s="3116"/>
      <c r="C974" s="3117"/>
      <c r="D974" s="3118"/>
      <c r="E974" s="2338" t="s">
        <v>957</v>
      </c>
      <c r="F974" s="2339">
        <f t="shared" si="110"/>
        <v>0</v>
      </c>
      <c r="G974" s="2339"/>
      <c r="H974" s="2339"/>
      <c r="I974" s="2339"/>
      <c r="J974" s="2340"/>
    </row>
    <row r="975" spans="1:14" s="2369" customFormat="1" ht="15" hidden="1" customHeight="1">
      <c r="A975" s="3115"/>
      <c r="B975" s="3116"/>
      <c r="C975" s="3117"/>
      <c r="D975" s="3118"/>
      <c r="E975" s="2338" t="s">
        <v>564</v>
      </c>
      <c r="F975" s="2339">
        <f t="shared" si="110"/>
        <v>0</v>
      </c>
      <c r="G975" s="2339"/>
      <c r="H975" s="2339"/>
      <c r="I975" s="2339"/>
      <c r="J975" s="2340"/>
    </row>
    <row r="976" spans="1:14" s="2369" customFormat="1" ht="15" customHeight="1">
      <c r="A976" s="3115"/>
      <c r="B976" s="3116"/>
      <c r="C976" s="3117"/>
      <c r="D976" s="3118"/>
      <c r="E976" s="2341" t="s">
        <v>1130</v>
      </c>
      <c r="F976" s="2336">
        <f>SUM(F977:F978)</f>
        <v>0</v>
      </c>
      <c r="G976" s="2336">
        <f>SUM(G977:G978)</f>
        <v>0</v>
      </c>
      <c r="H976" s="2336">
        <f>SUM(H977:H978)</f>
        <v>0</v>
      </c>
      <c r="I976" s="2336">
        <f>SUM(I977:I978)</f>
        <v>0</v>
      </c>
      <c r="J976" s="2337">
        <f>SUM(J977:J978)</f>
        <v>0</v>
      </c>
      <c r="K976" s="2370"/>
      <c r="L976" s="2370"/>
      <c r="M976" s="2370"/>
      <c r="N976" s="2370"/>
    </row>
    <row r="977" spans="1:11" s="2369" customFormat="1" ht="15" hidden="1" customHeight="1">
      <c r="A977" s="2345"/>
      <c r="B977" s="2346"/>
      <c r="C977" s="2343"/>
      <c r="D977" s="2373"/>
      <c r="E977" s="2338" t="s">
        <v>604</v>
      </c>
      <c r="F977" s="2339">
        <f>SUM(G977:J977)</f>
        <v>0</v>
      </c>
      <c r="G977" s="2339"/>
      <c r="H977" s="2339"/>
      <c r="I977" s="2339"/>
      <c r="J977" s="2340"/>
    </row>
    <row r="978" spans="1:11" s="2369" customFormat="1" ht="15" hidden="1" customHeight="1">
      <c r="A978" s="2345"/>
      <c r="B978" s="2346"/>
      <c r="C978" s="2343"/>
      <c r="D978" s="2373"/>
      <c r="E978" s="2338" t="s">
        <v>623</v>
      </c>
      <c r="F978" s="2339">
        <f>SUM(G978:J978)</f>
        <v>0</v>
      </c>
      <c r="G978" s="2339"/>
      <c r="H978" s="2339"/>
      <c r="I978" s="2339"/>
      <c r="J978" s="2340"/>
    </row>
    <row r="979" spans="1:11" s="2369" customFormat="1" ht="30" customHeight="1">
      <c r="A979" s="2326" t="s">
        <v>1228</v>
      </c>
      <c r="B979" s="3126" t="s">
        <v>1229</v>
      </c>
      <c r="C979" s="3126"/>
      <c r="D979" s="3126"/>
      <c r="E979" s="3126"/>
      <c r="F979" s="2380">
        <f>F981+F989+F1016+F1062</f>
        <v>58003116</v>
      </c>
      <c r="G979" s="2380">
        <f>G981+G989+G1016+G1062</f>
        <v>3181953</v>
      </c>
      <c r="H979" s="2380">
        <f>H981+H989+H1016+H1062</f>
        <v>0</v>
      </c>
      <c r="I979" s="2380">
        <f>I981+I989+I1016+I1062</f>
        <v>54821163</v>
      </c>
      <c r="J979" s="2381">
        <f>J981+J989+J1016+J1062</f>
        <v>0</v>
      </c>
    </row>
    <row r="980" spans="1:11" s="2369" customFormat="1" ht="15" customHeight="1">
      <c r="A980" s="3142"/>
      <c r="B980" s="3143"/>
      <c r="C980" s="3143"/>
      <c r="D980" s="3143"/>
      <c r="E980" s="3143"/>
      <c r="F980" s="3143"/>
      <c r="G980" s="3143"/>
      <c r="H980" s="3143"/>
      <c r="I980" s="3143"/>
      <c r="J980" s="3144"/>
    </row>
    <row r="981" spans="1:11" s="2369" customFormat="1" ht="22.5">
      <c r="A981" s="3115" t="s">
        <v>1127</v>
      </c>
      <c r="B981" s="3116" t="s">
        <v>1230</v>
      </c>
      <c r="C981" s="3117"/>
      <c r="D981" s="3117"/>
      <c r="E981" s="2330" t="s">
        <v>1129</v>
      </c>
      <c r="F981" s="2331">
        <f>SUM(F982,F986)</f>
        <v>3837000</v>
      </c>
      <c r="G981" s="2331">
        <f>SUM(G982,G986)</f>
        <v>0</v>
      </c>
      <c r="H981" s="2331">
        <f>SUM(H982,H986)</f>
        <v>0</v>
      </c>
      <c r="I981" s="2331">
        <f>SUM(I982,I986)</f>
        <v>3837000</v>
      </c>
      <c r="J981" s="2332">
        <f>SUM(J982,J986)</f>
        <v>0</v>
      </c>
    </row>
    <row r="982" spans="1:11" s="2369" customFormat="1" ht="15" customHeight="1">
      <c r="A982" s="3115"/>
      <c r="B982" s="3116"/>
      <c r="C982" s="3117"/>
      <c r="D982" s="3117"/>
      <c r="E982" s="2335" t="s">
        <v>685</v>
      </c>
      <c r="F982" s="2336">
        <f>SUM(F983:F985)</f>
        <v>3837000</v>
      </c>
      <c r="G982" s="2336">
        <f>SUM(G983:G985)</f>
        <v>0</v>
      </c>
      <c r="H982" s="2336">
        <f>SUM(H983:H985)</f>
        <v>0</v>
      </c>
      <c r="I982" s="2336">
        <f>SUM(I983:I985)</f>
        <v>3837000</v>
      </c>
      <c r="J982" s="2337">
        <f>SUM(J983:J985)</f>
        <v>0</v>
      </c>
    </row>
    <row r="983" spans="1:11" s="2369" customFormat="1" ht="15" customHeight="1">
      <c r="A983" s="3115"/>
      <c r="B983" s="3116"/>
      <c r="C983" s="3117">
        <v>853</v>
      </c>
      <c r="D983" s="3118" t="s">
        <v>861</v>
      </c>
      <c r="E983" s="2338" t="s">
        <v>420</v>
      </c>
      <c r="F983" s="2339">
        <f t="shared" ref="F983:F985" si="111">SUM(G983:J983)</f>
        <v>3837000</v>
      </c>
      <c r="G983" s="2339"/>
      <c r="H983" s="2339"/>
      <c r="I983" s="2339">
        <v>3837000</v>
      </c>
      <c r="J983" s="2340"/>
    </row>
    <row r="984" spans="1:11" s="2369" customFormat="1" ht="15" hidden="1" customHeight="1">
      <c r="A984" s="3115"/>
      <c r="B984" s="3116"/>
      <c r="C984" s="3117"/>
      <c r="D984" s="3118"/>
      <c r="E984" s="2338"/>
      <c r="F984" s="2339">
        <f>SUM(G984:J984)</f>
        <v>0</v>
      </c>
      <c r="G984" s="2339"/>
      <c r="H984" s="2339"/>
      <c r="I984" s="2339"/>
      <c r="J984" s="2340"/>
    </row>
    <row r="985" spans="1:11" s="2369" customFormat="1" ht="15" hidden="1" customHeight="1">
      <c r="A985" s="3115"/>
      <c r="B985" s="3116"/>
      <c r="C985" s="3117"/>
      <c r="D985" s="3118"/>
      <c r="E985" s="2338"/>
      <c r="F985" s="2339">
        <f t="shared" si="111"/>
        <v>0</v>
      </c>
      <c r="G985" s="2339"/>
      <c r="H985" s="2339"/>
      <c r="I985" s="2339"/>
      <c r="J985" s="2340"/>
    </row>
    <row r="986" spans="1:11" s="2369" customFormat="1" ht="15" customHeight="1">
      <c r="A986" s="3115"/>
      <c r="B986" s="3116"/>
      <c r="C986" s="3117"/>
      <c r="D986" s="3117"/>
      <c r="E986" s="2341" t="s">
        <v>1130</v>
      </c>
      <c r="F986" s="2336">
        <f>SUM(F987:F988)</f>
        <v>0</v>
      </c>
      <c r="G986" s="2336">
        <f>SUM(G987:G988)</f>
        <v>0</v>
      </c>
      <c r="H986" s="2336">
        <f>SUM(H987:H988)</f>
        <v>0</v>
      </c>
      <c r="I986" s="2336">
        <f>SUM(I987:I988)</f>
        <v>0</v>
      </c>
      <c r="J986" s="2337">
        <f>SUM(J987:J988)</f>
        <v>0</v>
      </c>
    </row>
    <row r="987" spans="1:11" s="2369" customFormat="1" ht="15" hidden="1" customHeight="1">
      <c r="A987" s="3115"/>
      <c r="B987" s="3116"/>
      <c r="C987" s="2344"/>
      <c r="D987" s="2338"/>
      <c r="E987" s="2338"/>
      <c r="F987" s="2339">
        <f t="shared" ref="F987:F988" si="112">SUM(G987:J987)</f>
        <v>0</v>
      </c>
      <c r="G987" s="2339"/>
      <c r="H987" s="2339"/>
      <c r="I987" s="2339"/>
      <c r="J987" s="2340"/>
    </row>
    <row r="988" spans="1:11" s="2369" customFormat="1" ht="15" hidden="1" customHeight="1">
      <c r="A988" s="3115"/>
      <c r="B988" s="3116"/>
      <c r="C988" s="2344"/>
      <c r="D988" s="2338"/>
      <c r="E988" s="2338"/>
      <c r="F988" s="2339">
        <f t="shared" si="112"/>
        <v>0</v>
      </c>
      <c r="G988" s="2339"/>
      <c r="H988" s="2339"/>
      <c r="I988" s="2339"/>
      <c r="J988" s="2340"/>
    </row>
    <row r="989" spans="1:11" s="2369" customFormat="1" ht="22.5" customHeight="1">
      <c r="A989" s="3130" t="s">
        <v>1131</v>
      </c>
      <c r="B989" s="3133" t="s">
        <v>1231</v>
      </c>
      <c r="C989" s="3117"/>
      <c r="D989" s="3117"/>
      <c r="E989" s="2330" t="s">
        <v>1129</v>
      </c>
      <c r="F989" s="2331">
        <f>SUM(F990,F1007)</f>
        <v>33182540</v>
      </c>
      <c r="G989" s="2331">
        <f>SUM(G990,G1007)</f>
        <v>0</v>
      </c>
      <c r="H989" s="2331">
        <f>SUM(H990,H1007)</f>
        <v>0</v>
      </c>
      <c r="I989" s="2331">
        <f>SUM(I990,I1007)</f>
        <v>33182540</v>
      </c>
      <c r="J989" s="2332">
        <f>SUM(J990,J1007)</f>
        <v>0</v>
      </c>
      <c r="K989" s="2370"/>
    </row>
    <row r="990" spans="1:11" s="2369" customFormat="1" ht="15" customHeight="1">
      <c r="A990" s="3131"/>
      <c r="B990" s="3134"/>
      <c r="C990" s="3117"/>
      <c r="D990" s="3117"/>
      <c r="E990" s="2335" t="s">
        <v>685</v>
      </c>
      <c r="F990" s="2336">
        <f>SUM(F991:F1006)</f>
        <v>31947909</v>
      </c>
      <c r="G990" s="2336">
        <f>SUM(G991:G1006)</f>
        <v>0</v>
      </c>
      <c r="H990" s="2336">
        <f>SUM(H991:H1006)</f>
        <v>0</v>
      </c>
      <c r="I990" s="2336">
        <f>SUM(I991:I1006)</f>
        <v>31947909</v>
      </c>
      <c r="J990" s="2337">
        <f>SUM(J991:J1006)</f>
        <v>0</v>
      </c>
    </row>
    <row r="991" spans="1:11" s="2369" customFormat="1" ht="15" customHeight="1">
      <c r="A991" s="3131"/>
      <c r="B991" s="3134"/>
      <c r="C991" s="3136">
        <v>150</v>
      </c>
      <c r="D991" s="3139" t="s">
        <v>253</v>
      </c>
      <c r="E991" s="2338" t="s">
        <v>420</v>
      </c>
      <c r="F991" s="2339">
        <f t="shared" ref="F991:F1006" si="113">SUM(G991:J991)</f>
        <v>6044903</v>
      </c>
      <c r="G991" s="2339"/>
      <c r="H991" s="2339"/>
      <c r="I991" s="2339">
        <v>6044903</v>
      </c>
      <c r="J991" s="2340"/>
    </row>
    <row r="992" spans="1:11" s="2369" customFormat="1" ht="15" hidden="1" customHeight="1">
      <c r="A992" s="3131"/>
      <c r="B992" s="3134"/>
      <c r="C992" s="3137"/>
      <c r="D992" s="3140"/>
      <c r="E992" s="2338" t="s">
        <v>303</v>
      </c>
      <c r="F992" s="2339">
        <f t="shared" si="113"/>
        <v>0</v>
      </c>
      <c r="G992" s="2339"/>
      <c r="H992" s="2339"/>
      <c r="I992" s="2339"/>
      <c r="J992" s="2340"/>
    </row>
    <row r="993" spans="1:10" s="2369" customFormat="1" ht="15" hidden="1" customHeight="1">
      <c r="A993" s="3131"/>
      <c r="B993" s="3134"/>
      <c r="C993" s="3137"/>
      <c r="D993" s="3140"/>
      <c r="E993" s="2338" t="s">
        <v>392</v>
      </c>
      <c r="F993" s="2339">
        <f t="shared" si="113"/>
        <v>0</v>
      </c>
      <c r="G993" s="2339"/>
      <c r="H993" s="2339"/>
      <c r="I993" s="2339"/>
      <c r="J993" s="2340"/>
    </row>
    <row r="994" spans="1:10" s="2369" customFormat="1" ht="15" hidden="1" customHeight="1">
      <c r="A994" s="3131"/>
      <c r="B994" s="3134"/>
      <c r="C994" s="3138"/>
      <c r="D994" s="3141"/>
      <c r="E994" s="2338" t="s">
        <v>391</v>
      </c>
      <c r="F994" s="2339">
        <f t="shared" si="113"/>
        <v>0</v>
      </c>
      <c r="G994" s="2339"/>
      <c r="H994" s="2339"/>
      <c r="I994" s="2339"/>
      <c r="J994" s="2340"/>
    </row>
    <row r="995" spans="1:10" s="2369" customFormat="1" ht="15" customHeight="1">
      <c r="A995" s="3131"/>
      <c r="B995" s="3134"/>
      <c r="C995" s="3136">
        <v>801</v>
      </c>
      <c r="D995" s="3139" t="s">
        <v>795</v>
      </c>
      <c r="E995" s="2338" t="s">
        <v>420</v>
      </c>
      <c r="F995" s="2339">
        <f t="shared" si="113"/>
        <v>3014218</v>
      </c>
      <c r="G995" s="2339"/>
      <c r="H995" s="2339"/>
      <c r="I995" s="2339">
        <v>3014218</v>
      </c>
      <c r="J995" s="2340"/>
    </row>
    <row r="996" spans="1:10" s="2369" customFormat="1" ht="15" customHeight="1">
      <c r="A996" s="3131"/>
      <c r="B996" s="3134"/>
      <c r="C996" s="3137"/>
      <c r="D996" s="3140"/>
      <c r="E996" s="2338" t="s">
        <v>303</v>
      </c>
      <c r="F996" s="2339">
        <f t="shared" si="113"/>
        <v>1526662</v>
      </c>
      <c r="G996" s="2339"/>
      <c r="H996" s="2339"/>
      <c r="I996" s="2339">
        <v>1526662</v>
      </c>
      <c r="J996" s="2340"/>
    </row>
    <row r="997" spans="1:10" s="2369" customFormat="1" ht="15" hidden="1" customHeight="1">
      <c r="A997" s="3131"/>
      <c r="B997" s="3134"/>
      <c r="C997" s="3137"/>
      <c r="D997" s="3140"/>
      <c r="E997" s="2338" t="s">
        <v>391</v>
      </c>
      <c r="F997" s="2339">
        <f t="shared" si="113"/>
        <v>0</v>
      </c>
      <c r="G997" s="2339"/>
      <c r="H997" s="2339"/>
      <c r="I997" s="2339"/>
      <c r="J997" s="2340"/>
    </row>
    <row r="998" spans="1:10" s="2369" customFormat="1" ht="15" hidden="1" customHeight="1">
      <c r="A998" s="3131"/>
      <c r="B998" s="3134"/>
      <c r="C998" s="3138"/>
      <c r="D998" s="3141"/>
      <c r="E998" s="2338" t="s">
        <v>392</v>
      </c>
      <c r="F998" s="2339">
        <f t="shared" si="113"/>
        <v>0</v>
      </c>
      <c r="G998" s="2339"/>
      <c r="H998" s="2339"/>
      <c r="I998" s="2339"/>
      <c r="J998" s="2340"/>
    </row>
    <row r="999" spans="1:10" s="2369" customFormat="1" ht="15" customHeight="1">
      <c r="A999" s="3131"/>
      <c r="B999" s="3134"/>
      <c r="C999" s="3136">
        <v>852</v>
      </c>
      <c r="D999" s="3139" t="s">
        <v>841</v>
      </c>
      <c r="E999" s="2338" t="s">
        <v>420</v>
      </c>
      <c r="F999" s="2339">
        <f t="shared" si="113"/>
        <v>10697879</v>
      </c>
      <c r="G999" s="2339"/>
      <c r="H999" s="2339"/>
      <c r="I999" s="2339">
        <v>10697879</v>
      </c>
      <c r="J999" s="2340"/>
    </row>
    <row r="1000" spans="1:10" s="2369" customFormat="1" ht="15" customHeight="1">
      <c r="A1000" s="3131"/>
      <c r="B1000" s="3134"/>
      <c r="C1000" s="3137"/>
      <c r="D1000" s="3140"/>
      <c r="E1000" s="2338" t="s">
        <v>303</v>
      </c>
      <c r="F1000" s="2339">
        <f t="shared" si="113"/>
        <v>2763341</v>
      </c>
      <c r="G1000" s="2339"/>
      <c r="H1000" s="2339"/>
      <c r="I1000" s="2339">
        <v>2763341</v>
      </c>
      <c r="J1000" s="2340"/>
    </row>
    <row r="1001" spans="1:10" s="2369" customFormat="1" ht="15" hidden="1" customHeight="1">
      <c r="A1001" s="3131"/>
      <c r="B1001" s="3134"/>
      <c r="C1001" s="3137"/>
      <c r="D1001" s="3140"/>
      <c r="E1001" s="2338" t="s">
        <v>392</v>
      </c>
      <c r="F1001" s="2339">
        <f t="shared" si="113"/>
        <v>0</v>
      </c>
      <c r="G1001" s="2339"/>
      <c r="H1001" s="2339"/>
      <c r="I1001" s="2339"/>
      <c r="J1001" s="2340"/>
    </row>
    <row r="1002" spans="1:10" s="2369" customFormat="1" ht="15" hidden="1" customHeight="1">
      <c r="A1002" s="3131"/>
      <c r="B1002" s="3134"/>
      <c r="C1002" s="3138"/>
      <c r="D1002" s="3141"/>
      <c r="E1002" s="2338" t="s">
        <v>391</v>
      </c>
      <c r="F1002" s="2339">
        <f t="shared" si="113"/>
        <v>0</v>
      </c>
      <c r="G1002" s="2339"/>
      <c r="H1002" s="2339"/>
      <c r="I1002" s="2339"/>
      <c r="J1002" s="2340"/>
    </row>
    <row r="1003" spans="1:10" s="2369" customFormat="1" ht="15" customHeight="1">
      <c r="A1003" s="3131"/>
      <c r="B1003" s="3134"/>
      <c r="C1003" s="3136">
        <v>853</v>
      </c>
      <c r="D1003" s="3139" t="s">
        <v>861</v>
      </c>
      <c r="E1003" s="2338" t="s">
        <v>420</v>
      </c>
      <c r="F1003" s="2339">
        <f t="shared" si="113"/>
        <v>6527757</v>
      </c>
      <c r="G1003" s="2339"/>
      <c r="H1003" s="2339"/>
      <c r="I1003" s="2339">
        <v>6527757</v>
      </c>
      <c r="J1003" s="2340"/>
    </row>
    <row r="1004" spans="1:10" s="2369" customFormat="1" ht="15" customHeight="1">
      <c r="A1004" s="3131"/>
      <c r="B1004" s="3134"/>
      <c r="C1004" s="3137"/>
      <c r="D1004" s="3140"/>
      <c r="E1004" s="2338" t="s">
        <v>303</v>
      </c>
      <c r="F1004" s="2339">
        <f t="shared" si="113"/>
        <v>1373149</v>
      </c>
      <c r="G1004" s="2339"/>
      <c r="H1004" s="2339"/>
      <c r="I1004" s="2339">
        <v>1373149</v>
      </c>
      <c r="J1004" s="2340"/>
    </row>
    <row r="1005" spans="1:10" s="2369" customFormat="1" ht="15" hidden="1" customHeight="1">
      <c r="A1005" s="3131"/>
      <c r="B1005" s="3134"/>
      <c r="C1005" s="3137"/>
      <c r="D1005" s="3140"/>
      <c r="E1005" s="2338" t="s">
        <v>391</v>
      </c>
      <c r="F1005" s="2339">
        <f t="shared" si="113"/>
        <v>0</v>
      </c>
      <c r="G1005" s="2339"/>
      <c r="H1005" s="2339"/>
      <c r="I1005" s="2339"/>
      <c r="J1005" s="2340"/>
    </row>
    <row r="1006" spans="1:10" s="2369" customFormat="1" ht="15" hidden="1" customHeight="1">
      <c r="A1006" s="3131"/>
      <c r="B1006" s="3134"/>
      <c r="C1006" s="3138"/>
      <c r="D1006" s="3141"/>
      <c r="E1006" s="2338" t="s">
        <v>392</v>
      </c>
      <c r="F1006" s="2339">
        <f t="shared" si="113"/>
        <v>0</v>
      </c>
      <c r="G1006" s="2339"/>
      <c r="H1006" s="2339"/>
      <c r="I1006" s="2339"/>
      <c r="J1006" s="2340"/>
    </row>
    <row r="1007" spans="1:10" s="2369" customFormat="1" ht="15" customHeight="1">
      <c r="A1007" s="3131"/>
      <c r="B1007" s="3134"/>
      <c r="C1007" s="3117"/>
      <c r="D1007" s="3117"/>
      <c r="E1007" s="2341" t="s">
        <v>1130</v>
      </c>
      <c r="F1007" s="2336">
        <f>SUM(F1008:F1015)</f>
        <v>1234631</v>
      </c>
      <c r="G1007" s="2336">
        <f>SUM(G1008:G1015)</f>
        <v>0</v>
      </c>
      <c r="H1007" s="2336">
        <f>SUM(H1008:H1015)</f>
        <v>0</v>
      </c>
      <c r="I1007" s="2336">
        <f>SUM(I1008:I1015)</f>
        <v>1234631</v>
      </c>
      <c r="J1007" s="2337">
        <f>SUM(J1008:J1015)</f>
        <v>0</v>
      </c>
    </row>
    <row r="1008" spans="1:10" s="2369" customFormat="1" ht="15" customHeight="1">
      <c r="A1008" s="3131"/>
      <c r="B1008" s="3134"/>
      <c r="C1008" s="3136">
        <v>801</v>
      </c>
      <c r="D1008" s="3139" t="s">
        <v>795</v>
      </c>
      <c r="E1008" s="2338" t="s">
        <v>607</v>
      </c>
      <c r="F1008" s="2339">
        <f t="shared" ref="F1008:F1015" si="114">SUM(G1008:J1008)</f>
        <v>126348</v>
      </c>
      <c r="G1008" s="2339"/>
      <c r="H1008" s="2339"/>
      <c r="I1008" s="2339">
        <v>126348</v>
      </c>
      <c r="J1008" s="2340"/>
    </row>
    <row r="1009" spans="1:10" s="2369" customFormat="1" ht="15" customHeight="1">
      <c r="A1009" s="3131"/>
      <c r="B1009" s="3134"/>
      <c r="C1009" s="3137"/>
      <c r="D1009" s="3140"/>
      <c r="E1009" s="2338" t="s">
        <v>608</v>
      </c>
      <c r="F1009" s="2339">
        <f t="shared" si="114"/>
        <v>109800</v>
      </c>
      <c r="G1009" s="2339"/>
      <c r="H1009" s="2339"/>
      <c r="I1009" s="2339">
        <v>109800</v>
      </c>
      <c r="J1009" s="2340"/>
    </row>
    <row r="1010" spans="1:10" s="2369" customFormat="1" ht="15" hidden="1" customHeight="1">
      <c r="A1010" s="3131"/>
      <c r="B1010" s="3134"/>
      <c r="C1010" s="3138"/>
      <c r="D1010" s="3141"/>
      <c r="E1010" s="2338" t="s">
        <v>393</v>
      </c>
      <c r="F1010" s="2339">
        <f t="shared" si="114"/>
        <v>0</v>
      </c>
      <c r="G1010" s="2339"/>
      <c r="H1010" s="2339"/>
      <c r="I1010" s="2339"/>
      <c r="J1010" s="2340"/>
    </row>
    <row r="1011" spans="1:10" s="2369" customFormat="1" ht="15" customHeight="1">
      <c r="A1011" s="3131"/>
      <c r="B1011" s="3134"/>
      <c r="C1011" s="3136">
        <v>852</v>
      </c>
      <c r="D1011" s="3139" t="s">
        <v>841</v>
      </c>
      <c r="E1011" s="2338" t="s">
        <v>607</v>
      </c>
      <c r="F1011" s="2339">
        <f t="shared" si="114"/>
        <v>677901</v>
      </c>
      <c r="G1011" s="2339"/>
      <c r="H1011" s="2339"/>
      <c r="I1011" s="2339">
        <v>677901</v>
      </c>
      <c r="J1011" s="2340"/>
    </row>
    <row r="1012" spans="1:10" s="2369" customFormat="1" ht="15" customHeight="1">
      <c r="A1012" s="3131"/>
      <c r="B1012" s="3134"/>
      <c r="C1012" s="3137"/>
      <c r="D1012" s="3140"/>
      <c r="E1012" s="2338" t="s">
        <v>608</v>
      </c>
      <c r="F1012" s="2339">
        <f t="shared" si="114"/>
        <v>306755</v>
      </c>
      <c r="G1012" s="2339"/>
      <c r="H1012" s="2339"/>
      <c r="I1012" s="2339">
        <v>306755</v>
      </c>
      <c r="J1012" s="2340"/>
    </row>
    <row r="1013" spans="1:10" s="2369" customFormat="1" ht="15" hidden="1" customHeight="1">
      <c r="A1013" s="3131"/>
      <c r="B1013" s="3134"/>
      <c r="C1013" s="3137"/>
      <c r="D1013" s="3140"/>
      <c r="E1013" s="2338" t="s">
        <v>393</v>
      </c>
      <c r="F1013" s="2339">
        <f t="shared" si="114"/>
        <v>0</v>
      </c>
      <c r="G1013" s="2339"/>
      <c r="H1013" s="2339"/>
      <c r="I1013" s="2339"/>
      <c r="J1013" s="2340"/>
    </row>
    <row r="1014" spans="1:10" s="2369" customFormat="1" ht="15" hidden="1" customHeight="1">
      <c r="A1014" s="3131"/>
      <c r="B1014" s="3134"/>
      <c r="C1014" s="3138"/>
      <c r="D1014" s="3141"/>
      <c r="E1014" s="2338" t="s">
        <v>722</v>
      </c>
      <c r="F1014" s="2339">
        <f t="shared" si="114"/>
        <v>0</v>
      </c>
      <c r="G1014" s="2339"/>
      <c r="H1014" s="2339"/>
      <c r="I1014" s="2339"/>
      <c r="J1014" s="2340"/>
    </row>
    <row r="1015" spans="1:10" s="2369" customFormat="1" ht="15" customHeight="1">
      <c r="A1015" s="3132"/>
      <c r="B1015" s="3135"/>
      <c r="C1015" s="2344">
        <v>853</v>
      </c>
      <c r="D1015" s="2338" t="s">
        <v>861</v>
      </c>
      <c r="E1015" s="2338" t="s">
        <v>608</v>
      </c>
      <c r="F1015" s="2339">
        <f t="shared" si="114"/>
        <v>13827</v>
      </c>
      <c r="G1015" s="2339"/>
      <c r="H1015" s="2339"/>
      <c r="I1015" s="2339">
        <v>13827</v>
      </c>
      <c r="J1015" s="2340"/>
    </row>
    <row r="1016" spans="1:10" s="2369" customFormat="1" ht="22.5">
      <c r="A1016" s="3130" t="s">
        <v>1133</v>
      </c>
      <c r="B1016" s="3133" t="s">
        <v>1232</v>
      </c>
      <c r="C1016" s="3136">
        <v>853</v>
      </c>
      <c r="D1016" s="3139" t="s">
        <v>859</v>
      </c>
      <c r="E1016" s="2330" t="s">
        <v>1129</v>
      </c>
      <c r="F1016" s="2331">
        <f>SUM(F1017,F1059)</f>
        <v>4780044</v>
      </c>
      <c r="G1016" s="2331">
        <f>SUM(G1017,G1059)</f>
        <v>751423</v>
      </c>
      <c r="H1016" s="2331">
        <f>SUM(H1017,H1059)</f>
        <v>0</v>
      </c>
      <c r="I1016" s="2331">
        <f>SUM(I1017,I1059)</f>
        <v>4028621</v>
      </c>
      <c r="J1016" s="2332">
        <f>SUM(J1017,J1059)</f>
        <v>0</v>
      </c>
    </row>
    <row r="1017" spans="1:10" s="2369" customFormat="1" ht="21">
      <c r="A1017" s="3131"/>
      <c r="B1017" s="3134"/>
      <c r="C1017" s="3137"/>
      <c r="D1017" s="3140"/>
      <c r="E1017" s="2335" t="s">
        <v>1135</v>
      </c>
      <c r="F1017" s="2336">
        <f>SUM(F1018,F1021,F1032)</f>
        <v>4780044</v>
      </c>
      <c r="G1017" s="2336">
        <f>SUM(G1018,G1021,G1032)</f>
        <v>751423</v>
      </c>
      <c r="H1017" s="2336">
        <f>SUM(H1018,H1021,H1032)</f>
        <v>0</v>
      </c>
      <c r="I1017" s="2336">
        <f>SUM(I1018,I1021,I1032)</f>
        <v>4028621</v>
      </c>
      <c r="J1017" s="2337">
        <f>SUM(J1018,J1021,J1032)</f>
        <v>0</v>
      </c>
    </row>
    <row r="1018" spans="1:10" s="2369" customFormat="1" ht="15" hidden="1" customHeight="1">
      <c r="A1018" s="3131"/>
      <c r="B1018" s="3134"/>
      <c r="C1018" s="3137"/>
      <c r="D1018" s="3140"/>
      <c r="E1018" s="2347" t="s">
        <v>1150</v>
      </c>
      <c r="F1018" s="2348">
        <f>SUM(F1019:F1020)</f>
        <v>0</v>
      </c>
      <c r="G1018" s="2348">
        <f>SUM(G1019:G1020)</f>
        <v>0</v>
      </c>
      <c r="H1018" s="2348">
        <f>SUM(H1019:H1020)</f>
        <v>0</v>
      </c>
      <c r="I1018" s="2348">
        <f>SUM(I1019:I1020)</f>
        <v>0</v>
      </c>
      <c r="J1018" s="2349">
        <f>SUM(J1019:J1020)</f>
        <v>0</v>
      </c>
    </row>
    <row r="1019" spans="1:10" s="2369" customFormat="1" ht="15" hidden="1" customHeight="1">
      <c r="A1019" s="3131"/>
      <c r="B1019" s="3134"/>
      <c r="C1019" s="3137"/>
      <c r="D1019" s="3140"/>
      <c r="E1019" s="2338"/>
      <c r="F1019" s="2339">
        <f>SUM(G1019:J1019)</f>
        <v>0</v>
      </c>
      <c r="G1019" s="2339"/>
      <c r="H1019" s="2339"/>
      <c r="I1019" s="2339"/>
      <c r="J1019" s="2340"/>
    </row>
    <row r="1020" spans="1:10" s="2369" customFormat="1" ht="15" hidden="1" customHeight="1">
      <c r="A1020" s="3131"/>
      <c r="B1020" s="3134"/>
      <c r="C1020" s="3137"/>
      <c r="D1020" s="3140"/>
      <c r="E1020" s="2338"/>
      <c r="F1020" s="2339">
        <f>SUM(G1020:J1020)</f>
        <v>0</v>
      </c>
      <c r="G1020" s="2339"/>
      <c r="H1020" s="2339"/>
      <c r="I1020" s="2339"/>
      <c r="J1020" s="2340"/>
    </row>
    <row r="1021" spans="1:10" s="2369" customFormat="1" ht="22.5">
      <c r="A1021" s="3131"/>
      <c r="B1021" s="3134"/>
      <c r="C1021" s="3137"/>
      <c r="D1021" s="3140"/>
      <c r="E1021" s="2347" t="s">
        <v>1136</v>
      </c>
      <c r="F1021" s="2348">
        <f>SUM(F1022:F1031)</f>
        <v>4099514</v>
      </c>
      <c r="G1021" s="2348">
        <f>SUM(G1022:G1031)</f>
        <v>644444</v>
      </c>
      <c r="H1021" s="2348">
        <f>SUM(H1022:H1031)</f>
        <v>0</v>
      </c>
      <c r="I1021" s="2348">
        <f>SUM(I1022:I1031)</f>
        <v>3455070</v>
      </c>
      <c r="J1021" s="2349">
        <f>SUM(J1022:J1031)</f>
        <v>0</v>
      </c>
    </row>
    <row r="1022" spans="1:10" s="2369" customFormat="1" ht="15" customHeight="1">
      <c r="A1022" s="3131"/>
      <c r="B1022" s="3134"/>
      <c r="C1022" s="3137"/>
      <c r="D1022" s="3140"/>
      <c r="E1022" s="2338" t="s">
        <v>540</v>
      </c>
      <c r="F1022" s="2339">
        <f t="shared" ref="F1022:F1031" si="115">SUM(G1022:J1022)</f>
        <v>2683042</v>
      </c>
      <c r="G1022" s="2339"/>
      <c r="H1022" s="2339"/>
      <c r="I1022" s="2339">
        <v>2683042</v>
      </c>
      <c r="J1022" s="2340"/>
    </row>
    <row r="1023" spans="1:10" s="2369" customFormat="1" ht="15" customHeight="1">
      <c r="A1023" s="3131"/>
      <c r="B1023" s="3134"/>
      <c r="C1023" s="3137"/>
      <c r="D1023" s="3140"/>
      <c r="E1023" s="2338" t="s">
        <v>541</v>
      </c>
      <c r="F1023" s="2339">
        <f t="shared" si="115"/>
        <v>500444</v>
      </c>
      <c r="G1023" s="2339">
        <v>500444</v>
      </c>
      <c r="H1023" s="2339"/>
      <c r="I1023" s="2339"/>
      <c r="J1023" s="2340"/>
    </row>
    <row r="1024" spans="1:10" s="2369" customFormat="1" ht="15" customHeight="1">
      <c r="A1024" s="3131"/>
      <c r="B1024" s="3134"/>
      <c r="C1024" s="3137"/>
      <c r="D1024" s="3140"/>
      <c r="E1024" s="2338" t="s">
        <v>542</v>
      </c>
      <c r="F1024" s="2339">
        <f t="shared" si="115"/>
        <v>202029</v>
      </c>
      <c r="G1024" s="2339"/>
      <c r="H1024" s="2339"/>
      <c r="I1024" s="2339">
        <v>202029</v>
      </c>
      <c r="J1024" s="2340"/>
    </row>
    <row r="1025" spans="1:10" s="2369" customFormat="1" ht="15" customHeight="1">
      <c r="A1025" s="3131"/>
      <c r="B1025" s="3134"/>
      <c r="C1025" s="3137"/>
      <c r="D1025" s="3140"/>
      <c r="E1025" s="2338" t="s">
        <v>543</v>
      </c>
      <c r="F1025" s="2339">
        <f t="shared" si="115"/>
        <v>37683</v>
      </c>
      <c r="G1025" s="2339">
        <v>37683</v>
      </c>
      <c r="H1025" s="2339"/>
      <c r="I1025" s="2339"/>
      <c r="J1025" s="2340"/>
    </row>
    <row r="1026" spans="1:10" s="2369" customFormat="1" ht="15" customHeight="1">
      <c r="A1026" s="3131"/>
      <c r="B1026" s="3134"/>
      <c r="C1026" s="3137"/>
      <c r="D1026" s="3140"/>
      <c r="E1026" s="2338" t="s">
        <v>544</v>
      </c>
      <c r="F1026" s="2339">
        <f t="shared" si="115"/>
        <v>495943</v>
      </c>
      <c r="G1026" s="2339"/>
      <c r="H1026" s="2339"/>
      <c r="I1026" s="2339">
        <v>495943</v>
      </c>
      <c r="J1026" s="2340"/>
    </row>
    <row r="1027" spans="1:10" s="2369" customFormat="1" ht="15" customHeight="1">
      <c r="A1027" s="3131"/>
      <c r="B1027" s="3134"/>
      <c r="C1027" s="3137"/>
      <c r="D1027" s="3140"/>
      <c r="E1027" s="2338" t="s">
        <v>545</v>
      </c>
      <c r="F1027" s="2339">
        <f t="shared" si="115"/>
        <v>92504</v>
      </c>
      <c r="G1027" s="2339">
        <v>92504</v>
      </c>
      <c r="H1027" s="2339"/>
      <c r="I1027" s="2339"/>
      <c r="J1027" s="2340"/>
    </row>
    <row r="1028" spans="1:10" s="2369" customFormat="1" ht="15" customHeight="1">
      <c r="A1028" s="3131"/>
      <c r="B1028" s="3134"/>
      <c r="C1028" s="3137"/>
      <c r="D1028" s="3140"/>
      <c r="E1028" s="2338" t="s">
        <v>546</v>
      </c>
      <c r="F1028" s="2339">
        <f t="shared" si="115"/>
        <v>70685</v>
      </c>
      <c r="G1028" s="2339"/>
      <c r="H1028" s="2339"/>
      <c r="I1028" s="2339">
        <v>70685</v>
      </c>
      <c r="J1028" s="2340"/>
    </row>
    <row r="1029" spans="1:10" s="2369" customFormat="1" ht="15" customHeight="1">
      <c r="A1029" s="3131"/>
      <c r="B1029" s="3134"/>
      <c r="C1029" s="3137"/>
      <c r="D1029" s="3140"/>
      <c r="E1029" s="2338" t="s">
        <v>547</v>
      </c>
      <c r="F1029" s="2339">
        <f t="shared" si="115"/>
        <v>13184</v>
      </c>
      <c r="G1029" s="2339">
        <v>13184</v>
      </c>
      <c r="H1029" s="2339"/>
      <c r="I1029" s="2339"/>
      <c r="J1029" s="2340"/>
    </row>
    <row r="1030" spans="1:10" s="2369" customFormat="1" ht="15" customHeight="1">
      <c r="A1030" s="3131"/>
      <c r="B1030" s="3134"/>
      <c r="C1030" s="3137"/>
      <c r="D1030" s="3140"/>
      <c r="E1030" s="2338" t="s">
        <v>548</v>
      </c>
      <c r="F1030" s="2339">
        <f t="shared" si="115"/>
        <v>3371</v>
      </c>
      <c r="G1030" s="2339"/>
      <c r="H1030" s="2339"/>
      <c r="I1030" s="2339">
        <v>3371</v>
      </c>
      <c r="J1030" s="2340"/>
    </row>
    <row r="1031" spans="1:10" s="2369" customFormat="1" ht="15" customHeight="1">
      <c r="A1031" s="3131"/>
      <c r="B1031" s="3134"/>
      <c r="C1031" s="3137"/>
      <c r="D1031" s="3140"/>
      <c r="E1031" s="2338" t="s">
        <v>549</v>
      </c>
      <c r="F1031" s="2339">
        <f t="shared" si="115"/>
        <v>629</v>
      </c>
      <c r="G1031" s="2339">
        <v>629</v>
      </c>
      <c r="H1031" s="2339"/>
      <c r="I1031" s="2339"/>
      <c r="J1031" s="2340"/>
    </row>
    <row r="1032" spans="1:10" s="2369" customFormat="1" ht="22.5">
      <c r="A1032" s="3131"/>
      <c r="B1032" s="3134"/>
      <c r="C1032" s="3137"/>
      <c r="D1032" s="3140"/>
      <c r="E1032" s="2347" t="s">
        <v>1137</v>
      </c>
      <c r="F1032" s="2348">
        <f>SUM(F1033:F1058)</f>
        <v>680530</v>
      </c>
      <c r="G1032" s="2348">
        <f>SUM(G1033:G1058)</f>
        <v>106979</v>
      </c>
      <c r="H1032" s="2348">
        <f>SUM(H1033:H1058)</f>
        <v>0</v>
      </c>
      <c r="I1032" s="2348">
        <f>SUM(I1033:I1058)</f>
        <v>573551</v>
      </c>
      <c r="J1032" s="2349">
        <f>SUM(J1033:J1058)</f>
        <v>0</v>
      </c>
    </row>
    <row r="1033" spans="1:10" s="2369" customFormat="1" ht="14.1" customHeight="1">
      <c r="A1033" s="3131"/>
      <c r="B1033" s="3134"/>
      <c r="C1033" s="3137"/>
      <c r="D1033" s="3140"/>
      <c r="E1033" s="2338" t="s">
        <v>687</v>
      </c>
      <c r="F1033" s="2339">
        <f t="shared" ref="F1033:F1058" si="116">SUM(G1033:J1033)</f>
        <v>5057</v>
      </c>
      <c r="G1033" s="2339"/>
      <c r="H1033" s="2339"/>
      <c r="I1033" s="2339">
        <v>5057</v>
      </c>
      <c r="J1033" s="2340"/>
    </row>
    <row r="1034" spans="1:10" s="2369" customFormat="1" ht="14.1" customHeight="1">
      <c r="A1034" s="3131"/>
      <c r="B1034" s="3134"/>
      <c r="C1034" s="3137"/>
      <c r="D1034" s="3140"/>
      <c r="E1034" s="2338" t="s">
        <v>688</v>
      </c>
      <c r="F1034" s="2339">
        <f t="shared" si="116"/>
        <v>943</v>
      </c>
      <c r="G1034" s="2339">
        <v>943</v>
      </c>
      <c r="H1034" s="2339"/>
      <c r="I1034" s="2339"/>
      <c r="J1034" s="2340"/>
    </row>
    <row r="1035" spans="1:10" s="2369" customFormat="1" ht="14.1" customHeight="1">
      <c r="A1035" s="3131"/>
      <c r="B1035" s="3134"/>
      <c r="C1035" s="3137"/>
      <c r="D1035" s="3140"/>
      <c r="E1035" s="2338" t="s">
        <v>553</v>
      </c>
      <c r="F1035" s="2339">
        <f t="shared" si="116"/>
        <v>71217</v>
      </c>
      <c r="G1035" s="2339"/>
      <c r="H1035" s="2339"/>
      <c r="I1035" s="2339">
        <v>71217</v>
      </c>
      <c r="J1035" s="2340"/>
    </row>
    <row r="1036" spans="1:10" s="2369" customFormat="1" ht="14.1" customHeight="1">
      <c r="A1036" s="3131"/>
      <c r="B1036" s="3134"/>
      <c r="C1036" s="3137"/>
      <c r="D1036" s="3140"/>
      <c r="E1036" s="2338" t="s">
        <v>554</v>
      </c>
      <c r="F1036" s="2339">
        <f t="shared" si="116"/>
        <v>13283</v>
      </c>
      <c r="G1036" s="2339">
        <v>13283</v>
      </c>
      <c r="H1036" s="2339"/>
      <c r="I1036" s="2339"/>
      <c r="J1036" s="2340"/>
    </row>
    <row r="1037" spans="1:10" s="2369" customFormat="1" ht="14.1" customHeight="1">
      <c r="A1037" s="3131"/>
      <c r="B1037" s="3134"/>
      <c r="C1037" s="3137"/>
      <c r="D1037" s="3140"/>
      <c r="E1037" s="2338" t="s">
        <v>692</v>
      </c>
      <c r="F1037" s="2339">
        <f t="shared" si="116"/>
        <v>58490</v>
      </c>
      <c r="G1037" s="2339"/>
      <c r="H1037" s="2339"/>
      <c r="I1037" s="2339">
        <v>58490</v>
      </c>
      <c r="J1037" s="2340"/>
    </row>
    <row r="1038" spans="1:10" s="2369" customFormat="1" ht="14.1" customHeight="1">
      <c r="A1038" s="3131"/>
      <c r="B1038" s="3134"/>
      <c r="C1038" s="3137"/>
      <c r="D1038" s="3140"/>
      <c r="E1038" s="2338" t="s">
        <v>693</v>
      </c>
      <c r="F1038" s="2339">
        <f t="shared" si="116"/>
        <v>10910</v>
      </c>
      <c r="G1038" s="2339">
        <v>10910</v>
      </c>
      <c r="H1038" s="2339"/>
      <c r="I1038" s="2339"/>
      <c r="J1038" s="2340"/>
    </row>
    <row r="1039" spans="1:10" s="2369" customFormat="1" ht="14.1" customHeight="1">
      <c r="A1039" s="3131"/>
      <c r="B1039" s="3134"/>
      <c r="C1039" s="3137"/>
      <c r="D1039" s="3140"/>
      <c r="E1039" s="2338" t="s">
        <v>555</v>
      </c>
      <c r="F1039" s="2339">
        <f t="shared" si="116"/>
        <v>8681</v>
      </c>
      <c r="G1039" s="2339"/>
      <c r="H1039" s="2339"/>
      <c r="I1039" s="2339">
        <v>8681</v>
      </c>
      <c r="J1039" s="2340"/>
    </row>
    <row r="1040" spans="1:10" s="2369" customFormat="1" ht="14.1" customHeight="1">
      <c r="A1040" s="3131"/>
      <c r="B1040" s="3134"/>
      <c r="C1040" s="3137"/>
      <c r="D1040" s="3140"/>
      <c r="E1040" s="2338" t="s">
        <v>556</v>
      </c>
      <c r="F1040" s="2339">
        <f t="shared" si="116"/>
        <v>1619</v>
      </c>
      <c r="G1040" s="2339">
        <v>1619</v>
      </c>
      <c r="H1040" s="2339"/>
      <c r="I1040" s="2339"/>
      <c r="J1040" s="2340"/>
    </row>
    <row r="1041" spans="1:10" s="2369" customFormat="1" ht="14.1" customHeight="1">
      <c r="A1041" s="3131"/>
      <c r="B1041" s="3134"/>
      <c r="C1041" s="3137"/>
      <c r="D1041" s="3140"/>
      <c r="E1041" s="2338" t="s">
        <v>694</v>
      </c>
      <c r="F1041" s="2339">
        <f t="shared" si="116"/>
        <v>5310</v>
      </c>
      <c r="G1041" s="2339"/>
      <c r="H1041" s="2339"/>
      <c r="I1041" s="2339">
        <v>5310</v>
      </c>
      <c r="J1041" s="2340"/>
    </row>
    <row r="1042" spans="1:10" s="2369" customFormat="1" ht="14.1" customHeight="1">
      <c r="A1042" s="3131"/>
      <c r="B1042" s="3134"/>
      <c r="C1042" s="3137"/>
      <c r="D1042" s="3140"/>
      <c r="E1042" s="2338" t="s">
        <v>695</v>
      </c>
      <c r="F1042" s="2339">
        <f t="shared" si="116"/>
        <v>990</v>
      </c>
      <c r="G1042" s="2339">
        <v>990</v>
      </c>
      <c r="H1042" s="2339"/>
      <c r="I1042" s="2339"/>
      <c r="J1042" s="2340"/>
    </row>
    <row r="1043" spans="1:10" s="2369" customFormat="1" ht="14.1" customHeight="1">
      <c r="A1043" s="3131"/>
      <c r="B1043" s="3134"/>
      <c r="C1043" s="3137"/>
      <c r="D1043" s="3140"/>
      <c r="E1043" s="2338" t="s">
        <v>557</v>
      </c>
      <c r="F1043" s="2339">
        <f t="shared" si="116"/>
        <v>169234</v>
      </c>
      <c r="G1043" s="2339"/>
      <c r="H1043" s="2339"/>
      <c r="I1043" s="2339">
        <v>169234</v>
      </c>
      <c r="J1043" s="2340"/>
    </row>
    <row r="1044" spans="1:10" s="2369" customFormat="1" ht="14.1" customHeight="1">
      <c r="A1044" s="3131"/>
      <c r="B1044" s="3134"/>
      <c r="C1044" s="3137"/>
      <c r="D1044" s="3140"/>
      <c r="E1044" s="2338" t="s">
        <v>558</v>
      </c>
      <c r="F1044" s="2339">
        <f t="shared" si="116"/>
        <v>31566</v>
      </c>
      <c r="G1044" s="2339">
        <v>31566</v>
      </c>
      <c r="H1044" s="2339"/>
      <c r="I1044" s="2339"/>
      <c r="J1044" s="2340"/>
    </row>
    <row r="1045" spans="1:10" s="2369" customFormat="1" ht="14.1" customHeight="1">
      <c r="A1045" s="3131"/>
      <c r="B1045" s="3134"/>
      <c r="C1045" s="3137"/>
      <c r="D1045" s="3140"/>
      <c r="E1045" s="2338" t="s">
        <v>696</v>
      </c>
      <c r="F1045" s="2339">
        <f t="shared" si="116"/>
        <v>7383</v>
      </c>
      <c r="G1045" s="2339"/>
      <c r="H1045" s="2339"/>
      <c r="I1045" s="2339">
        <v>7383</v>
      </c>
      <c r="J1045" s="2340"/>
    </row>
    <row r="1046" spans="1:10" s="2369" customFormat="1" ht="14.1" customHeight="1">
      <c r="A1046" s="3131"/>
      <c r="B1046" s="3134"/>
      <c r="C1046" s="3137"/>
      <c r="D1046" s="3140"/>
      <c r="E1046" s="2338" t="s">
        <v>719</v>
      </c>
      <c r="F1046" s="2339">
        <f t="shared" si="116"/>
        <v>1377</v>
      </c>
      <c r="G1046" s="2339">
        <v>1377</v>
      </c>
      <c r="H1046" s="2339"/>
      <c r="I1046" s="2339"/>
      <c r="J1046" s="2340"/>
    </row>
    <row r="1047" spans="1:10" s="100" customFormat="1" ht="14.1" customHeight="1">
      <c r="A1047" s="3131"/>
      <c r="B1047" s="3134"/>
      <c r="C1047" s="3137"/>
      <c r="D1047" s="3140"/>
      <c r="E1047" s="2338" t="s">
        <v>675</v>
      </c>
      <c r="F1047" s="2339">
        <f t="shared" si="116"/>
        <v>421</v>
      </c>
      <c r="G1047" s="2339"/>
      <c r="H1047" s="2339"/>
      <c r="I1047" s="2339">
        <v>421</v>
      </c>
      <c r="J1047" s="2340"/>
    </row>
    <row r="1048" spans="1:10" s="100" customFormat="1" ht="14.1" customHeight="1">
      <c r="A1048" s="3131"/>
      <c r="B1048" s="3134"/>
      <c r="C1048" s="3137"/>
      <c r="D1048" s="3140"/>
      <c r="E1048" s="2338" t="s">
        <v>648</v>
      </c>
      <c r="F1048" s="2339">
        <f t="shared" si="116"/>
        <v>79</v>
      </c>
      <c r="G1048" s="2339">
        <v>79</v>
      </c>
      <c r="H1048" s="2339"/>
      <c r="I1048" s="2339"/>
      <c r="J1048" s="2340"/>
    </row>
    <row r="1049" spans="1:10" s="2369" customFormat="1" ht="14.1" customHeight="1">
      <c r="A1049" s="3131"/>
      <c r="B1049" s="3134"/>
      <c r="C1049" s="3137"/>
      <c r="D1049" s="3140"/>
      <c r="E1049" s="2338" t="s">
        <v>698</v>
      </c>
      <c r="F1049" s="2339">
        <f t="shared" si="116"/>
        <v>176482</v>
      </c>
      <c r="G1049" s="2339"/>
      <c r="H1049" s="2339"/>
      <c r="I1049" s="2339">
        <v>176482</v>
      </c>
      <c r="J1049" s="2340"/>
    </row>
    <row r="1050" spans="1:10" s="2369" customFormat="1" ht="14.1" customHeight="1">
      <c r="A1050" s="3131"/>
      <c r="B1050" s="3134"/>
      <c r="C1050" s="3137"/>
      <c r="D1050" s="3140"/>
      <c r="E1050" s="2338" t="s">
        <v>699</v>
      </c>
      <c r="F1050" s="2339">
        <f t="shared" si="116"/>
        <v>32918</v>
      </c>
      <c r="G1050" s="2339">
        <v>32918</v>
      </c>
      <c r="H1050" s="2339"/>
      <c r="I1050" s="2339"/>
      <c r="J1050" s="2340"/>
    </row>
    <row r="1051" spans="1:10" s="2369" customFormat="1" ht="14.1" customHeight="1">
      <c r="A1051" s="3131"/>
      <c r="B1051" s="3134"/>
      <c r="C1051" s="3137"/>
      <c r="D1051" s="3140"/>
      <c r="E1051" s="2338" t="s">
        <v>561</v>
      </c>
      <c r="F1051" s="2339">
        <f t="shared" si="116"/>
        <v>21070</v>
      </c>
      <c r="G1051" s="2339"/>
      <c r="H1051" s="2339"/>
      <c r="I1051" s="2339">
        <v>21070</v>
      </c>
      <c r="J1051" s="2340"/>
    </row>
    <row r="1052" spans="1:10" s="2369" customFormat="1" ht="14.1" customHeight="1">
      <c r="A1052" s="3131"/>
      <c r="B1052" s="3134"/>
      <c r="C1052" s="3137"/>
      <c r="D1052" s="3140"/>
      <c r="E1052" s="2338" t="s">
        <v>562</v>
      </c>
      <c r="F1052" s="2339">
        <f t="shared" si="116"/>
        <v>3930</v>
      </c>
      <c r="G1052" s="2339">
        <v>3930</v>
      </c>
      <c r="H1052" s="2339"/>
      <c r="I1052" s="2339"/>
      <c r="J1052" s="2340"/>
    </row>
    <row r="1053" spans="1:10" s="2369" customFormat="1" ht="14.1" customHeight="1">
      <c r="A1053" s="3131"/>
      <c r="B1053" s="3134"/>
      <c r="C1053" s="3137"/>
      <c r="D1053" s="3140"/>
      <c r="E1053" s="2338" t="s">
        <v>700</v>
      </c>
      <c r="F1053" s="2339">
        <f t="shared" si="116"/>
        <v>2166</v>
      </c>
      <c r="G1053" s="2339"/>
      <c r="H1053" s="2339"/>
      <c r="I1053" s="2339">
        <v>2166</v>
      </c>
      <c r="J1053" s="2340"/>
    </row>
    <row r="1054" spans="1:10" s="2369" customFormat="1" ht="14.1" customHeight="1">
      <c r="A1054" s="3131"/>
      <c r="B1054" s="3134"/>
      <c r="C1054" s="3137"/>
      <c r="D1054" s="3140"/>
      <c r="E1054" s="2338" t="s">
        <v>701</v>
      </c>
      <c r="F1054" s="2339">
        <f t="shared" si="116"/>
        <v>404</v>
      </c>
      <c r="G1054" s="2339">
        <v>404</v>
      </c>
      <c r="H1054" s="2339"/>
      <c r="I1054" s="2339"/>
      <c r="J1054" s="2340"/>
    </row>
    <row r="1055" spans="1:10" s="2369" customFormat="1" ht="14.1" customHeight="1">
      <c r="A1055" s="3131"/>
      <c r="B1055" s="3134"/>
      <c r="C1055" s="3137"/>
      <c r="D1055" s="3140"/>
      <c r="E1055" s="2338" t="s">
        <v>702</v>
      </c>
      <c r="F1055" s="2339">
        <f t="shared" si="116"/>
        <v>1686</v>
      </c>
      <c r="G1055" s="2339"/>
      <c r="H1055" s="2339"/>
      <c r="I1055" s="2339">
        <v>1686</v>
      </c>
      <c r="J1055" s="2340"/>
    </row>
    <row r="1056" spans="1:10" s="2369" customFormat="1" ht="14.1" customHeight="1">
      <c r="A1056" s="3131"/>
      <c r="B1056" s="3134"/>
      <c r="C1056" s="3137"/>
      <c r="D1056" s="3140"/>
      <c r="E1056" s="2338" t="s">
        <v>703</v>
      </c>
      <c r="F1056" s="2339">
        <f t="shared" si="116"/>
        <v>314</v>
      </c>
      <c r="G1056" s="2339">
        <v>314</v>
      </c>
      <c r="H1056" s="2339"/>
      <c r="I1056" s="2339"/>
      <c r="J1056" s="2340"/>
    </row>
    <row r="1057" spans="1:16" s="2369" customFormat="1" ht="14.1" customHeight="1">
      <c r="A1057" s="3131"/>
      <c r="B1057" s="3134"/>
      <c r="C1057" s="3137"/>
      <c r="D1057" s="3140"/>
      <c r="E1057" s="2338" t="s">
        <v>565</v>
      </c>
      <c r="F1057" s="2339">
        <f t="shared" si="116"/>
        <v>46354</v>
      </c>
      <c r="G1057" s="2339"/>
      <c r="H1057" s="2339"/>
      <c r="I1057" s="2339">
        <v>46354</v>
      </c>
      <c r="J1057" s="2340"/>
    </row>
    <row r="1058" spans="1:16" s="2369" customFormat="1" ht="14.1" customHeight="1">
      <c r="A1058" s="3131"/>
      <c r="B1058" s="3134"/>
      <c r="C1058" s="3137"/>
      <c r="D1058" s="3140"/>
      <c r="E1058" s="2338" t="s">
        <v>566</v>
      </c>
      <c r="F1058" s="2339">
        <f t="shared" si="116"/>
        <v>8646</v>
      </c>
      <c r="G1058" s="2339">
        <v>8646</v>
      </c>
      <c r="H1058" s="2339"/>
      <c r="I1058" s="2339"/>
      <c r="J1058" s="2340"/>
    </row>
    <row r="1059" spans="1:16" s="2369" customFormat="1" ht="15" customHeight="1">
      <c r="A1059" s="3132"/>
      <c r="B1059" s="3135"/>
      <c r="C1059" s="3138"/>
      <c r="D1059" s="3141"/>
      <c r="E1059" s="2341" t="s">
        <v>1130</v>
      </c>
      <c r="F1059" s="2336">
        <f>SUM(F1060:F1061)</f>
        <v>0</v>
      </c>
      <c r="G1059" s="2336">
        <f>SUM(G1060:G1061)</f>
        <v>0</v>
      </c>
      <c r="H1059" s="2336">
        <f>SUM(H1060:H1061)</f>
        <v>0</v>
      </c>
      <c r="I1059" s="2336">
        <f>SUM(I1060:I1061)</f>
        <v>0</v>
      </c>
      <c r="J1059" s="2337">
        <f>SUM(J1060:J1061)</f>
        <v>0</v>
      </c>
    </row>
    <row r="1060" spans="1:16" s="2369" customFormat="1" ht="15" hidden="1" customHeight="1">
      <c r="A1060" s="2377"/>
      <c r="B1060" s="2378"/>
      <c r="C1060" s="2382"/>
      <c r="D1060" s="2379"/>
      <c r="E1060" s="2338" t="s">
        <v>638</v>
      </c>
      <c r="F1060" s="2339">
        <f>SUM(G1060:J1060)</f>
        <v>0</v>
      </c>
      <c r="G1060" s="2339"/>
      <c r="H1060" s="2339"/>
      <c r="I1060" s="2339"/>
      <c r="J1060" s="2340"/>
    </row>
    <row r="1061" spans="1:16" s="2369" customFormat="1" ht="15" hidden="1" customHeight="1">
      <c r="A1061" s="2383"/>
      <c r="B1061" s="2384"/>
      <c r="C1061" s="2385"/>
      <c r="D1061" s="2386"/>
      <c r="E1061" s="2344">
        <v>6069</v>
      </c>
      <c r="F1061" s="2339">
        <f>SUM(G1061:J1061)</f>
        <v>0</v>
      </c>
      <c r="G1061" s="2339"/>
      <c r="H1061" s="2339"/>
      <c r="I1061" s="2339"/>
      <c r="J1061" s="2340"/>
    </row>
    <row r="1062" spans="1:16" s="2369" customFormat="1" ht="22.5" customHeight="1">
      <c r="A1062" s="3130" t="s">
        <v>1138</v>
      </c>
      <c r="B1062" s="3133" t="s">
        <v>1233</v>
      </c>
      <c r="C1062" s="3136">
        <v>853</v>
      </c>
      <c r="D1062" s="3139" t="s">
        <v>859</v>
      </c>
      <c r="E1062" s="2330" t="s">
        <v>1129</v>
      </c>
      <c r="F1062" s="2331">
        <f>SUM(F1063,F1105)</f>
        <v>16203532</v>
      </c>
      <c r="G1062" s="2331">
        <f>SUM(G1063,G1105)</f>
        <v>2430530</v>
      </c>
      <c r="H1062" s="2331">
        <f>SUM(H1063,H1105)</f>
        <v>0</v>
      </c>
      <c r="I1062" s="2331">
        <f>SUM(I1063,I1105)</f>
        <v>13773002</v>
      </c>
      <c r="J1062" s="2332">
        <f>SUM(J1063,J1105)</f>
        <v>0</v>
      </c>
    </row>
    <row r="1063" spans="1:16" s="2369" customFormat="1" ht="21">
      <c r="A1063" s="3131"/>
      <c r="B1063" s="3134"/>
      <c r="C1063" s="3137"/>
      <c r="D1063" s="3140"/>
      <c r="E1063" s="2335" t="s">
        <v>1135</v>
      </c>
      <c r="F1063" s="2336">
        <f>SUM(F1064,F1067,F1078)</f>
        <v>16203532</v>
      </c>
      <c r="G1063" s="2336">
        <f>SUM(G1064,G1067,G1078)</f>
        <v>2430530</v>
      </c>
      <c r="H1063" s="2336">
        <f>SUM(H1064,H1067,H1078)</f>
        <v>0</v>
      </c>
      <c r="I1063" s="2336">
        <f>SUM(I1064,I1067,I1078)</f>
        <v>13773002</v>
      </c>
      <c r="J1063" s="2337">
        <f>SUM(J1064,J1067,J1078)</f>
        <v>0</v>
      </c>
      <c r="K1063" s="2370"/>
      <c r="L1063" s="2370"/>
      <c r="M1063" s="2370"/>
      <c r="N1063" s="2370"/>
      <c r="O1063" s="2370"/>
      <c r="P1063" s="2370"/>
    </row>
    <row r="1064" spans="1:16" s="2369" customFormat="1" ht="15" hidden="1" customHeight="1">
      <c r="A1064" s="3131"/>
      <c r="B1064" s="3134"/>
      <c r="C1064" s="3137"/>
      <c r="D1064" s="3140"/>
      <c r="E1064" s="2347" t="s">
        <v>1150</v>
      </c>
      <c r="F1064" s="2348">
        <f>SUM(F1065:F1066)</f>
        <v>0</v>
      </c>
      <c r="G1064" s="2348">
        <f>SUM(G1065:G1066)</f>
        <v>0</v>
      </c>
      <c r="H1064" s="2348">
        <f>SUM(H1065:H1066)</f>
        <v>0</v>
      </c>
      <c r="I1064" s="2348">
        <f>SUM(I1065:I1066)</f>
        <v>0</v>
      </c>
      <c r="J1064" s="2349">
        <f>SUM(J1065:J1066)</f>
        <v>0</v>
      </c>
    </row>
    <row r="1065" spans="1:16" s="2369" customFormat="1" ht="15" hidden="1" customHeight="1">
      <c r="A1065" s="3131"/>
      <c r="B1065" s="3134"/>
      <c r="C1065" s="3137"/>
      <c r="D1065" s="3140"/>
      <c r="E1065" s="2338"/>
      <c r="F1065" s="2339">
        <f>SUM(G1065:J1065)</f>
        <v>0</v>
      </c>
      <c r="G1065" s="2339"/>
      <c r="H1065" s="2339"/>
      <c r="I1065" s="2339"/>
      <c r="J1065" s="2340"/>
    </row>
    <row r="1066" spans="1:16" s="2369" customFormat="1" ht="15" hidden="1" customHeight="1">
      <c r="A1066" s="3131"/>
      <c r="B1066" s="3134"/>
      <c r="C1066" s="3137"/>
      <c r="D1066" s="3140"/>
      <c r="E1066" s="2338"/>
      <c r="F1066" s="2339">
        <f>SUM(G1066:J1066)</f>
        <v>0</v>
      </c>
      <c r="G1066" s="2339"/>
      <c r="H1066" s="2339"/>
      <c r="I1066" s="2339"/>
      <c r="J1066" s="2340"/>
    </row>
    <row r="1067" spans="1:16" s="2369" customFormat="1" ht="22.5">
      <c r="A1067" s="3131"/>
      <c r="B1067" s="3134"/>
      <c r="C1067" s="3137"/>
      <c r="D1067" s="3140"/>
      <c r="E1067" s="2347" t="s">
        <v>1136</v>
      </c>
      <c r="F1067" s="2348">
        <f>SUM(F1068:F1077)</f>
        <v>14930052</v>
      </c>
      <c r="G1067" s="2348">
        <f>SUM(G1068:G1077)</f>
        <v>2239508</v>
      </c>
      <c r="H1067" s="2348">
        <f>SUM(H1068:H1077)</f>
        <v>0</v>
      </c>
      <c r="I1067" s="2348">
        <f>SUM(I1068:I1077)</f>
        <v>12690544</v>
      </c>
      <c r="J1067" s="2349">
        <f>SUM(J1068:J1077)</f>
        <v>0</v>
      </c>
      <c r="K1067" s="2370"/>
      <c r="L1067" s="2370"/>
      <c r="M1067" s="2370"/>
      <c r="N1067" s="2370"/>
      <c r="O1067" s="2370"/>
      <c r="P1067" s="2370"/>
    </row>
    <row r="1068" spans="1:16" s="2369" customFormat="1" ht="15" customHeight="1">
      <c r="A1068" s="3131"/>
      <c r="B1068" s="3134"/>
      <c r="C1068" s="3137"/>
      <c r="D1068" s="3140"/>
      <c r="E1068" s="2338" t="s">
        <v>540</v>
      </c>
      <c r="F1068" s="2339">
        <f t="shared" ref="F1068:F1077" si="117">SUM(G1068:J1068)</f>
        <v>9927507</v>
      </c>
      <c r="G1068" s="2339"/>
      <c r="H1068" s="2339"/>
      <c r="I1068" s="2339">
        <v>9927507</v>
      </c>
      <c r="J1068" s="2340"/>
      <c r="K1068" s="2371"/>
      <c r="L1068" s="2371"/>
      <c r="M1068" s="2371"/>
      <c r="N1068" s="2371"/>
      <c r="O1068" s="2371"/>
      <c r="P1068" s="2370"/>
    </row>
    <row r="1069" spans="1:16" s="2369" customFormat="1" ht="15" customHeight="1">
      <c r="A1069" s="3131"/>
      <c r="B1069" s="3134"/>
      <c r="C1069" s="3137"/>
      <c r="D1069" s="3140"/>
      <c r="E1069" s="2338" t="s">
        <v>541</v>
      </c>
      <c r="F1069" s="2339">
        <f t="shared" si="117"/>
        <v>1751913</v>
      </c>
      <c r="G1069" s="2339">
        <v>1751913</v>
      </c>
      <c r="H1069" s="2339"/>
      <c r="I1069" s="2339"/>
      <c r="J1069" s="2340"/>
    </row>
    <row r="1070" spans="1:16" s="2369" customFormat="1" ht="15" customHeight="1">
      <c r="A1070" s="3131"/>
      <c r="B1070" s="3134"/>
      <c r="C1070" s="3137"/>
      <c r="D1070" s="3140"/>
      <c r="E1070" s="2338" t="s">
        <v>542</v>
      </c>
      <c r="F1070" s="2339">
        <f t="shared" si="117"/>
        <v>657744</v>
      </c>
      <c r="G1070" s="2339"/>
      <c r="H1070" s="2339"/>
      <c r="I1070" s="2339">
        <v>657744</v>
      </c>
      <c r="J1070" s="2340"/>
    </row>
    <row r="1071" spans="1:16" s="2369" customFormat="1" ht="15" customHeight="1">
      <c r="A1071" s="3131"/>
      <c r="B1071" s="3134"/>
      <c r="C1071" s="3137"/>
      <c r="D1071" s="3140"/>
      <c r="E1071" s="2338" t="s">
        <v>543</v>
      </c>
      <c r="F1071" s="2339">
        <f t="shared" si="117"/>
        <v>116072</v>
      </c>
      <c r="G1071" s="2339">
        <v>116072</v>
      </c>
      <c r="H1071" s="2339"/>
      <c r="I1071" s="2339"/>
      <c r="J1071" s="2340"/>
    </row>
    <row r="1072" spans="1:16" s="2369" customFormat="1" ht="15" customHeight="1">
      <c r="A1072" s="3131"/>
      <c r="B1072" s="3134"/>
      <c r="C1072" s="3137"/>
      <c r="D1072" s="3140"/>
      <c r="E1072" s="2338" t="s">
        <v>544</v>
      </c>
      <c r="F1072" s="2339">
        <f t="shared" si="117"/>
        <v>1819605</v>
      </c>
      <c r="G1072" s="2339"/>
      <c r="H1072" s="2339"/>
      <c r="I1072" s="2339">
        <v>1819605</v>
      </c>
      <c r="J1072" s="2340"/>
    </row>
    <row r="1073" spans="1:10" s="2369" customFormat="1" ht="15" customHeight="1">
      <c r="A1073" s="3131"/>
      <c r="B1073" s="3134"/>
      <c r="C1073" s="3137"/>
      <c r="D1073" s="3140"/>
      <c r="E1073" s="2338" t="s">
        <v>545</v>
      </c>
      <c r="F1073" s="2339">
        <f t="shared" si="117"/>
        <v>321107</v>
      </c>
      <c r="G1073" s="2339">
        <v>321107</v>
      </c>
      <c r="H1073" s="2339"/>
      <c r="I1073" s="2339"/>
      <c r="J1073" s="2340"/>
    </row>
    <row r="1074" spans="1:10" s="2369" customFormat="1" ht="15" customHeight="1">
      <c r="A1074" s="3131"/>
      <c r="B1074" s="3134"/>
      <c r="C1074" s="3137"/>
      <c r="D1074" s="3140"/>
      <c r="E1074" s="2338" t="s">
        <v>546</v>
      </c>
      <c r="F1074" s="2339">
        <f t="shared" si="117"/>
        <v>259338</v>
      </c>
      <c r="G1074" s="2339"/>
      <c r="H1074" s="2339"/>
      <c r="I1074" s="2339">
        <v>259338</v>
      </c>
      <c r="J1074" s="2340"/>
    </row>
    <row r="1075" spans="1:10" s="2369" customFormat="1" ht="15" customHeight="1">
      <c r="A1075" s="3131"/>
      <c r="B1075" s="3134"/>
      <c r="C1075" s="3137"/>
      <c r="D1075" s="3140"/>
      <c r="E1075" s="2338" t="s">
        <v>547</v>
      </c>
      <c r="F1075" s="2339">
        <f t="shared" si="117"/>
        <v>45766</v>
      </c>
      <c r="G1075" s="2339">
        <v>45766</v>
      </c>
      <c r="H1075" s="2339"/>
      <c r="I1075" s="2339"/>
      <c r="J1075" s="2340"/>
    </row>
    <row r="1076" spans="1:10" s="2369" customFormat="1" ht="15" customHeight="1">
      <c r="A1076" s="3131"/>
      <c r="B1076" s="3134"/>
      <c r="C1076" s="3137"/>
      <c r="D1076" s="3140"/>
      <c r="E1076" s="2338" t="s">
        <v>548</v>
      </c>
      <c r="F1076" s="2339">
        <f t="shared" si="117"/>
        <v>26350</v>
      </c>
      <c r="G1076" s="2339"/>
      <c r="H1076" s="2339"/>
      <c r="I1076" s="2339">
        <v>26350</v>
      </c>
      <c r="J1076" s="2340"/>
    </row>
    <row r="1077" spans="1:10" s="2369" customFormat="1" ht="15" customHeight="1">
      <c r="A1077" s="3131"/>
      <c r="B1077" s="3134"/>
      <c r="C1077" s="3137"/>
      <c r="D1077" s="3140"/>
      <c r="E1077" s="2338" t="s">
        <v>549</v>
      </c>
      <c r="F1077" s="2339">
        <f t="shared" si="117"/>
        <v>4650</v>
      </c>
      <c r="G1077" s="2339">
        <v>4650</v>
      </c>
      <c r="H1077" s="2339"/>
      <c r="I1077" s="2339"/>
      <c r="J1077" s="2340"/>
    </row>
    <row r="1078" spans="1:10" s="2369" customFormat="1" ht="22.5">
      <c r="A1078" s="3131"/>
      <c r="B1078" s="3134"/>
      <c r="C1078" s="3137"/>
      <c r="D1078" s="3140"/>
      <c r="E1078" s="2347" t="s">
        <v>1137</v>
      </c>
      <c r="F1078" s="2348">
        <f>SUM(F1079:F1104)</f>
        <v>1273480</v>
      </c>
      <c r="G1078" s="2348">
        <f>SUM(G1079:G1104)</f>
        <v>191022</v>
      </c>
      <c r="H1078" s="2348">
        <f>SUM(H1079:H1104)</f>
        <v>0</v>
      </c>
      <c r="I1078" s="2348">
        <f>SUM(I1079:I1104)</f>
        <v>1082458</v>
      </c>
      <c r="J1078" s="2349">
        <f>SUM(J1079:J1104)</f>
        <v>0</v>
      </c>
    </row>
    <row r="1079" spans="1:10" s="2369" customFormat="1" ht="14.1" customHeight="1">
      <c r="A1079" s="3131"/>
      <c r="B1079" s="3134"/>
      <c r="C1079" s="3137"/>
      <c r="D1079" s="3140"/>
      <c r="E1079" s="2338" t="s">
        <v>687</v>
      </c>
      <c r="F1079" s="2339">
        <f t="shared" ref="F1079:F1104" si="118">SUM(G1079:J1079)</f>
        <v>10200</v>
      </c>
      <c r="G1079" s="2339"/>
      <c r="H1079" s="2339"/>
      <c r="I1079" s="2339">
        <v>10200</v>
      </c>
      <c r="J1079" s="2340"/>
    </row>
    <row r="1080" spans="1:10" s="2369" customFormat="1" ht="14.1" customHeight="1">
      <c r="A1080" s="3131"/>
      <c r="B1080" s="3134"/>
      <c r="C1080" s="3137"/>
      <c r="D1080" s="3140"/>
      <c r="E1080" s="2338" t="s">
        <v>688</v>
      </c>
      <c r="F1080" s="2339">
        <f t="shared" si="118"/>
        <v>1800</v>
      </c>
      <c r="G1080" s="2339">
        <v>1800</v>
      </c>
      <c r="H1080" s="2339"/>
      <c r="I1080" s="2339"/>
      <c r="J1080" s="2340"/>
    </row>
    <row r="1081" spans="1:10" s="2369" customFormat="1" ht="14.1" customHeight="1">
      <c r="A1081" s="3131"/>
      <c r="B1081" s="3134"/>
      <c r="C1081" s="3137"/>
      <c r="D1081" s="3140"/>
      <c r="E1081" s="2338" t="s">
        <v>553</v>
      </c>
      <c r="F1081" s="2339">
        <f t="shared" si="118"/>
        <v>255850</v>
      </c>
      <c r="G1081" s="2339"/>
      <c r="H1081" s="2339"/>
      <c r="I1081" s="2339">
        <v>255850</v>
      </c>
      <c r="J1081" s="2340"/>
    </row>
    <row r="1082" spans="1:10" s="2369" customFormat="1" ht="14.1" customHeight="1">
      <c r="A1082" s="3131"/>
      <c r="B1082" s="3134"/>
      <c r="C1082" s="3137"/>
      <c r="D1082" s="3140"/>
      <c r="E1082" s="2338" t="s">
        <v>554</v>
      </c>
      <c r="F1082" s="2339">
        <f t="shared" si="118"/>
        <v>45150</v>
      </c>
      <c r="G1082" s="2339">
        <v>45150</v>
      </c>
      <c r="H1082" s="2339"/>
      <c r="I1082" s="2339"/>
      <c r="J1082" s="2340"/>
    </row>
    <row r="1083" spans="1:10" s="2369" customFormat="1" ht="14.1" customHeight="1">
      <c r="A1083" s="3131"/>
      <c r="B1083" s="3134"/>
      <c r="C1083" s="3137"/>
      <c r="D1083" s="3140"/>
      <c r="E1083" s="2338" t="s">
        <v>692</v>
      </c>
      <c r="F1083" s="2339">
        <f t="shared" si="118"/>
        <v>128350</v>
      </c>
      <c r="G1083" s="2339"/>
      <c r="H1083" s="2339"/>
      <c r="I1083" s="2339">
        <v>128350</v>
      </c>
      <c r="J1083" s="2340"/>
    </row>
    <row r="1084" spans="1:10" s="2369" customFormat="1" ht="14.1" customHeight="1">
      <c r="A1084" s="3131"/>
      <c r="B1084" s="3134"/>
      <c r="C1084" s="3137"/>
      <c r="D1084" s="3140"/>
      <c r="E1084" s="2338" t="s">
        <v>693</v>
      </c>
      <c r="F1084" s="2339">
        <f t="shared" si="118"/>
        <v>22650</v>
      </c>
      <c r="G1084" s="2339">
        <v>22650</v>
      </c>
      <c r="H1084" s="2339"/>
      <c r="I1084" s="2339"/>
      <c r="J1084" s="2340"/>
    </row>
    <row r="1085" spans="1:10" s="2369" customFormat="1" ht="14.1" customHeight="1">
      <c r="A1085" s="3131"/>
      <c r="B1085" s="3134"/>
      <c r="C1085" s="3137"/>
      <c r="D1085" s="3140"/>
      <c r="E1085" s="2338" t="s">
        <v>555</v>
      </c>
      <c r="F1085" s="2339">
        <f t="shared" si="118"/>
        <v>44965</v>
      </c>
      <c r="G1085" s="2339"/>
      <c r="H1085" s="2339"/>
      <c r="I1085" s="2339">
        <v>44965</v>
      </c>
      <c r="J1085" s="2340"/>
    </row>
    <row r="1086" spans="1:10" s="2369" customFormat="1" ht="14.1" customHeight="1">
      <c r="A1086" s="3131"/>
      <c r="B1086" s="3134"/>
      <c r="C1086" s="3137"/>
      <c r="D1086" s="3140"/>
      <c r="E1086" s="2338" t="s">
        <v>556</v>
      </c>
      <c r="F1086" s="2339">
        <f t="shared" si="118"/>
        <v>7935</v>
      </c>
      <c r="G1086" s="2339">
        <v>7935</v>
      </c>
      <c r="H1086" s="2339"/>
      <c r="I1086" s="2339"/>
      <c r="J1086" s="2340"/>
    </row>
    <row r="1087" spans="1:10" s="2369" customFormat="1" ht="14.1" customHeight="1">
      <c r="A1087" s="3131"/>
      <c r="B1087" s="3134"/>
      <c r="C1087" s="3137"/>
      <c r="D1087" s="3140"/>
      <c r="E1087" s="2338" t="s">
        <v>694</v>
      </c>
      <c r="F1087" s="2339">
        <f t="shared" si="118"/>
        <v>9622</v>
      </c>
      <c r="G1087" s="2339"/>
      <c r="H1087" s="2339"/>
      <c r="I1087" s="2339">
        <v>9622</v>
      </c>
      <c r="J1087" s="2340"/>
    </row>
    <row r="1088" spans="1:10" s="2369" customFormat="1" ht="14.1" customHeight="1">
      <c r="A1088" s="3131"/>
      <c r="B1088" s="3134"/>
      <c r="C1088" s="3137"/>
      <c r="D1088" s="3140"/>
      <c r="E1088" s="2338" t="s">
        <v>695</v>
      </c>
      <c r="F1088" s="2339">
        <f t="shared" si="118"/>
        <v>1698</v>
      </c>
      <c r="G1088" s="2339">
        <v>1698</v>
      </c>
      <c r="H1088" s="2339"/>
      <c r="I1088" s="2339"/>
      <c r="J1088" s="2340"/>
    </row>
    <row r="1089" spans="1:10" s="2369" customFormat="1" ht="14.1" customHeight="1">
      <c r="A1089" s="3131"/>
      <c r="B1089" s="3134"/>
      <c r="C1089" s="3137"/>
      <c r="D1089" s="3140"/>
      <c r="E1089" s="2338" t="s">
        <v>557</v>
      </c>
      <c r="F1089" s="2339">
        <f t="shared" si="118"/>
        <v>393771</v>
      </c>
      <c r="G1089" s="2339"/>
      <c r="H1089" s="2339"/>
      <c r="I1089" s="2339">
        <v>393771</v>
      </c>
      <c r="J1089" s="2340"/>
    </row>
    <row r="1090" spans="1:10" s="2369" customFormat="1" ht="14.1" customHeight="1">
      <c r="A1090" s="3131"/>
      <c r="B1090" s="3134"/>
      <c r="C1090" s="3137"/>
      <c r="D1090" s="3140"/>
      <c r="E1090" s="2338" t="s">
        <v>558</v>
      </c>
      <c r="F1090" s="2339">
        <f t="shared" si="118"/>
        <v>69489</v>
      </c>
      <c r="G1090" s="2339">
        <v>69489</v>
      </c>
      <c r="H1090" s="2339"/>
      <c r="I1090" s="2339"/>
      <c r="J1090" s="2340"/>
    </row>
    <row r="1091" spans="1:10" s="2369" customFormat="1" ht="14.1" customHeight="1">
      <c r="A1091" s="3131"/>
      <c r="B1091" s="3134"/>
      <c r="C1091" s="3137"/>
      <c r="D1091" s="3140"/>
      <c r="E1091" s="2338" t="s">
        <v>696</v>
      </c>
      <c r="F1091" s="2339">
        <f t="shared" si="118"/>
        <v>26180</v>
      </c>
      <c r="G1091" s="2339"/>
      <c r="H1091" s="2339"/>
      <c r="I1091" s="2339">
        <v>26180</v>
      </c>
      <c r="J1091" s="2340"/>
    </row>
    <row r="1092" spans="1:10" s="2369" customFormat="1" ht="14.1" customHeight="1">
      <c r="A1092" s="3131"/>
      <c r="B1092" s="3134"/>
      <c r="C1092" s="3137"/>
      <c r="D1092" s="3140"/>
      <c r="E1092" s="2338" t="s">
        <v>719</v>
      </c>
      <c r="F1092" s="2339">
        <f t="shared" si="118"/>
        <v>4620</v>
      </c>
      <c r="G1092" s="2339">
        <v>4620</v>
      </c>
      <c r="H1092" s="2339"/>
      <c r="I1092" s="2339"/>
      <c r="J1092" s="2340"/>
    </row>
    <row r="1093" spans="1:10" s="2369" customFormat="1" ht="14.1" customHeight="1">
      <c r="A1093" s="3131"/>
      <c r="B1093" s="3134"/>
      <c r="C1093" s="3137"/>
      <c r="D1093" s="3140"/>
      <c r="E1093" s="2338" t="s">
        <v>675</v>
      </c>
      <c r="F1093" s="2339">
        <f t="shared" si="118"/>
        <v>1020</v>
      </c>
      <c r="G1093" s="2339"/>
      <c r="H1093" s="2339"/>
      <c r="I1093" s="2339">
        <v>1020</v>
      </c>
      <c r="J1093" s="2340"/>
    </row>
    <row r="1094" spans="1:10" s="2369" customFormat="1" ht="14.1" customHeight="1">
      <c r="A1094" s="3131"/>
      <c r="B1094" s="3134"/>
      <c r="C1094" s="3137"/>
      <c r="D1094" s="3140"/>
      <c r="E1094" s="2338" t="s">
        <v>648</v>
      </c>
      <c r="F1094" s="2339">
        <f t="shared" si="118"/>
        <v>180</v>
      </c>
      <c r="G1094" s="2339">
        <v>180</v>
      </c>
      <c r="H1094" s="2339"/>
      <c r="I1094" s="2339"/>
      <c r="J1094" s="2340"/>
    </row>
    <row r="1095" spans="1:10" s="2369" customFormat="1" ht="14.1" customHeight="1">
      <c r="A1095" s="3131"/>
      <c r="B1095" s="3134"/>
      <c r="C1095" s="3137"/>
      <c r="D1095" s="3140"/>
      <c r="E1095" s="2338" t="s">
        <v>698</v>
      </c>
      <c r="F1095" s="2339">
        <f t="shared" si="118"/>
        <v>8500</v>
      </c>
      <c r="G1095" s="2339"/>
      <c r="H1095" s="2339"/>
      <c r="I1095" s="2339">
        <v>8500</v>
      </c>
      <c r="J1095" s="2340"/>
    </row>
    <row r="1096" spans="1:10" s="2369" customFormat="1" ht="14.1" customHeight="1">
      <c r="A1096" s="3131"/>
      <c r="B1096" s="3134"/>
      <c r="C1096" s="3137"/>
      <c r="D1096" s="3140"/>
      <c r="E1096" s="2338" t="s">
        <v>699</v>
      </c>
      <c r="F1096" s="2339">
        <f t="shared" si="118"/>
        <v>1500</v>
      </c>
      <c r="G1096" s="2339">
        <v>1500</v>
      </c>
      <c r="H1096" s="2339"/>
      <c r="I1096" s="2339"/>
      <c r="J1096" s="2340"/>
    </row>
    <row r="1097" spans="1:10" s="2369" customFormat="1" ht="14.1" customHeight="1">
      <c r="A1097" s="3131"/>
      <c r="B1097" s="3134"/>
      <c r="C1097" s="3137"/>
      <c r="D1097" s="3140"/>
      <c r="E1097" s="2338" t="s">
        <v>561</v>
      </c>
      <c r="F1097" s="2339">
        <f t="shared" si="118"/>
        <v>52700</v>
      </c>
      <c r="G1097" s="2339"/>
      <c r="H1097" s="2339"/>
      <c r="I1097" s="2339">
        <v>52700</v>
      </c>
      <c r="J1097" s="2340"/>
    </row>
    <row r="1098" spans="1:10" s="2369" customFormat="1" ht="14.1" customHeight="1">
      <c r="A1098" s="3131"/>
      <c r="B1098" s="3134"/>
      <c r="C1098" s="3137"/>
      <c r="D1098" s="3140"/>
      <c r="E1098" s="2338" t="s">
        <v>562</v>
      </c>
      <c r="F1098" s="2339">
        <f t="shared" si="118"/>
        <v>9300</v>
      </c>
      <c r="G1098" s="2339">
        <v>9300</v>
      </c>
      <c r="H1098" s="2339"/>
      <c r="I1098" s="2339"/>
      <c r="J1098" s="2340"/>
    </row>
    <row r="1099" spans="1:10" s="2369" customFormat="1" ht="14.1" customHeight="1">
      <c r="A1099" s="3131"/>
      <c r="B1099" s="3134"/>
      <c r="C1099" s="3137"/>
      <c r="D1099" s="3140"/>
      <c r="E1099" s="2338" t="s">
        <v>700</v>
      </c>
      <c r="F1099" s="2339">
        <f t="shared" si="118"/>
        <v>6800</v>
      </c>
      <c r="G1099" s="2339"/>
      <c r="H1099" s="2339"/>
      <c r="I1099" s="2339">
        <v>6800</v>
      </c>
      <c r="J1099" s="2340"/>
    </row>
    <row r="1100" spans="1:10" s="2369" customFormat="1" ht="14.1" customHeight="1">
      <c r="A1100" s="3131"/>
      <c r="B1100" s="3134"/>
      <c r="C1100" s="3137"/>
      <c r="D1100" s="3140"/>
      <c r="E1100" s="2338" t="s">
        <v>701</v>
      </c>
      <c r="F1100" s="2339">
        <f t="shared" si="118"/>
        <v>1200</v>
      </c>
      <c r="G1100" s="2339">
        <v>1200</v>
      </c>
      <c r="H1100" s="2339"/>
      <c r="I1100" s="2339"/>
      <c r="J1100" s="2340"/>
    </row>
    <row r="1101" spans="1:10" s="2369" customFormat="1" ht="14.1" customHeight="1">
      <c r="A1101" s="3131"/>
      <c r="B1101" s="3134"/>
      <c r="C1101" s="3137"/>
      <c r="D1101" s="3140"/>
      <c r="E1101" s="2338" t="s">
        <v>702</v>
      </c>
      <c r="F1101" s="2339">
        <f t="shared" si="118"/>
        <v>4250</v>
      </c>
      <c r="G1101" s="2339"/>
      <c r="H1101" s="2339"/>
      <c r="I1101" s="2339">
        <v>4250</v>
      </c>
      <c r="J1101" s="2340"/>
    </row>
    <row r="1102" spans="1:10" s="2369" customFormat="1" ht="14.1" customHeight="1">
      <c r="A1102" s="3131"/>
      <c r="B1102" s="3134"/>
      <c r="C1102" s="3137"/>
      <c r="D1102" s="3140"/>
      <c r="E1102" s="2338" t="s">
        <v>703</v>
      </c>
      <c r="F1102" s="2339">
        <f t="shared" si="118"/>
        <v>750</v>
      </c>
      <c r="G1102" s="2339">
        <v>750</v>
      </c>
      <c r="H1102" s="2339"/>
      <c r="I1102" s="2339"/>
      <c r="J1102" s="2340"/>
    </row>
    <row r="1103" spans="1:10" s="2369" customFormat="1" ht="14.1" customHeight="1">
      <c r="A1103" s="3131"/>
      <c r="B1103" s="3134"/>
      <c r="C1103" s="3137"/>
      <c r="D1103" s="3140"/>
      <c r="E1103" s="2338" t="s">
        <v>565</v>
      </c>
      <c r="F1103" s="2339">
        <f t="shared" si="118"/>
        <v>140250</v>
      </c>
      <c r="G1103" s="2339"/>
      <c r="H1103" s="2339"/>
      <c r="I1103" s="2339">
        <v>140250</v>
      </c>
      <c r="J1103" s="2340"/>
    </row>
    <row r="1104" spans="1:10" s="2369" customFormat="1" ht="14.1" customHeight="1">
      <c r="A1104" s="3131"/>
      <c r="B1104" s="3134"/>
      <c r="C1104" s="3137"/>
      <c r="D1104" s="3140"/>
      <c r="E1104" s="2338" t="s">
        <v>566</v>
      </c>
      <c r="F1104" s="2339">
        <f t="shared" si="118"/>
        <v>24750</v>
      </c>
      <c r="G1104" s="2339">
        <v>24750</v>
      </c>
      <c r="H1104" s="2339"/>
      <c r="I1104" s="2339"/>
      <c r="J1104" s="2340"/>
    </row>
    <row r="1105" spans="1:10" s="2369" customFormat="1" ht="15" customHeight="1">
      <c r="A1105" s="3132"/>
      <c r="B1105" s="3135"/>
      <c r="C1105" s="3138"/>
      <c r="D1105" s="3141"/>
      <c r="E1105" s="2341" t="s">
        <v>1130</v>
      </c>
      <c r="F1105" s="2336">
        <f>SUM(F1106:F1107)</f>
        <v>0</v>
      </c>
      <c r="G1105" s="2336">
        <f>SUM(G1106:G1107)</f>
        <v>0</v>
      </c>
      <c r="H1105" s="2336">
        <f>SUM(H1106:H1107)</f>
        <v>0</v>
      </c>
      <c r="I1105" s="2336">
        <f>SUM(I1106:I1107)</f>
        <v>0</v>
      </c>
      <c r="J1105" s="2337">
        <f>SUM(J1106:J1107)</f>
        <v>0</v>
      </c>
    </row>
    <row r="1106" spans="1:10" s="2333" customFormat="1" ht="15" hidden="1" customHeight="1">
      <c r="A1106" s="2350"/>
      <c r="B1106" s="2351"/>
      <c r="C1106" s="2352"/>
      <c r="D1106" s="2353"/>
      <c r="E1106" s="2354" t="s">
        <v>638</v>
      </c>
      <c r="F1106" s="2355">
        <f t="shared" ref="F1106" si="119">SUM(G1106:J1106)</f>
        <v>0</v>
      </c>
      <c r="G1106" s="2355"/>
      <c r="H1106" s="2355"/>
      <c r="I1106" s="2355"/>
      <c r="J1106" s="2356"/>
    </row>
    <row r="1107" spans="1:10" s="2333" customFormat="1" ht="15" hidden="1" customHeight="1">
      <c r="A1107" s="2350"/>
      <c r="B1107" s="2351"/>
      <c r="C1107" s="2352"/>
      <c r="D1107" s="2353"/>
      <c r="E1107" s="2368">
        <v>6069</v>
      </c>
      <c r="F1107" s="2355">
        <f>SUM(G1107:J1107)</f>
        <v>0</v>
      </c>
      <c r="G1107" s="2355"/>
      <c r="H1107" s="2355"/>
      <c r="I1107" s="2355"/>
      <c r="J1107" s="2356"/>
    </row>
    <row r="1108" spans="1:10" s="2369" customFormat="1" ht="30" customHeight="1">
      <c r="A1108" s="2326" t="s">
        <v>1234</v>
      </c>
      <c r="B1108" s="3126" t="s">
        <v>1235</v>
      </c>
      <c r="C1108" s="3126"/>
      <c r="D1108" s="3126"/>
      <c r="E1108" s="3126"/>
      <c r="F1108" s="2380">
        <f>F1110+F1122+F1141+F1167+F1190+F1234</f>
        <v>9794127</v>
      </c>
      <c r="G1108" s="2380">
        <f t="shared" ref="G1108:J1108" si="120">G1110+G1122+G1141+G1167+G1190+G1234</f>
        <v>174356</v>
      </c>
      <c r="H1108" s="2380">
        <f t="shared" si="120"/>
        <v>8409613</v>
      </c>
      <c r="I1108" s="2380">
        <f t="shared" si="120"/>
        <v>1210158</v>
      </c>
      <c r="J1108" s="2381">
        <f t="shared" si="120"/>
        <v>0</v>
      </c>
    </row>
    <row r="1109" spans="1:10" s="2333" customFormat="1" ht="15" customHeight="1">
      <c r="A1109" s="3127"/>
      <c r="B1109" s="3128"/>
      <c r="C1109" s="3128"/>
      <c r="D1109" s="3128"/>
      <c r="E1109" s="3128"/>
      <c r="F1109" s="3128"/>
      <c r="G1109" s="3128"/>
      <c r="H1109" s="3128"/>
      <c r="I1109" s="3128"/>
      <c r="J1109" s="3129"/>
    </row>
    <row r="1110" spans="1:10" s="2333" customFormat="1" ht="22.5">
      <c r="A1110" s="3130" t="s">
        <v>1127</v>
      </c>
      <c r="B1110" s="3133" t="s">
        <v>1236</v>
      </c>
      <c r="C1110" s="3136">
        <v>852</v>
      </c>
      <c r="D1110" s="3139" t="s">
        <v>841</v>
      </c>
      <c r="E1110" s="2330" t="s">
        <v>1129</v>
      </c>
      <c r="F1110" s="2331">
        <f>SUM(F1111,F1119)</f>
        <v>16317</v>
      </c>
      <c r="G1110" s="2331">
        <f>SUM(G1111,G1119)</f>
        <v>0</v>
      </c>
      <c r="H1110" s="2331">
        <f>SUM(H1111,H1119)</f>
        <v>16317</v>
      </c>
      <c r="I1110" s="2331">
        <f>SUM(I1111,I1119)</f>
        <v>0</v>
      </c>
      <c r="J1110" s="2332">
        <f>SUM(J1111,J1119)</f>
        <v>0</v>
      </c>
    </row>
    <row r="1111" spans="1:10" s="2333" customFormat="1" ht="21">
      <c r="A1111" s="3131"/>
      <c r="B1111" s="3134"/>
      <c r="C1111" s="3137"/>
      <c r="D1111" s="3140"/>
      <c r="E1111" s="2335" t="s">
        <v>1135</v>
      </c>
      <c r="F1111" s="2336">
        <f>SUM(F1112,F1116)</f>
        <v>16317</v>
      </c>
      <c r="G1111" s="2336">
        <f>SUM(G1112,G1116)</f>
        <v>0</v>
      </c>
      <c r="H1111" s="2336">
        <f>SUM(H1112,H1116)</f>
        <v>16317</v>
      </c>
      <c r="I1111" s="2336">
        <f>SUM(I1112,I1116)</f>
        <v>0</v>
      </c>
      <c r="J1111" s="2337">
        <f>SUM(J1112,J1116)</f>
        <v>0</v>
      </c>
    </row>
    <row r="1112" spans="1:10" s="2333" customFormat="1" ht="22.5">
      <c r="A1112" s="3131"/>
      <c r="B1112" s="3134"/>
      <c r="C1112" s="3137"/>
      <c r="D1112" s="3140"/>
      <c r="E1112" s="2347" t="s">
        <v>1136</v>
      </c>
      <c r="F1112" s="2348">
        <f>SUM(F1113:F1115)</f>
        <v>16317</v>
      </c>
      <c r="G1112" s="2348">
        <f>SUM(G1113:G1115)</f>
        <v>0</v>
      </c>
      <c r="H1112" s="2348">
        <f>SUM(H1113:H1115)</f>
        <v>16317</v>
      </c>
      <c r="I1112" s="2348">
        <f>SUM(I1113:I1115)</f>
        <v>0</v>
      </c>
      <c r="J1112" s="2349">
        <f>SUM(J1113:J1115)</f>
        <v>0</v>
      </c>
    </row>
    <row r="1113" spans="1:10" s="2333" customFormat="1" ht="15" customHeight="1">
      <c r="A1113" s="3131"/>
      <c r="B1113" s="3134"/>
      <c r="C1113" s="3137"/>
      <c r="D1113" s="3140"/>
      <c r="E1113" s="2338" t="s">
        <v>597</v>
      </c>
      <c r="F1113" s="2339">
        <f t="shared" ref="F1113:F1115" si="121">SUM(G1113:J1113)</f>
        <v>13668</v>
      </c>
      <c r="G1113" s="2339"/>
      <c r="H1113" s="2339">
        <v>13668</v>
      </c>
      <c r="I1113" s="2339"/>
      <c r="J1113" s="2340"/>
    </row>
    <row r="1114" spans="1:10" s="2333" customFormat="1" ht="15" customHeight="1">
      <c r="A1114" s="3131"/>
      <c r="B1114" s="3134"/>
      <c r="C1114" s="3137"/>
      <c r="D1114" s="3140"/>
      <c r="E1114" s="2338" t="s">
        <v>598</v>
      </c>
      <c r="F1114" s="2339">
        <f t="shared" si="121"/>
        <v>2314</v>
      </c>
      <c r="G1114" s="2339"/>
      <c r="H1114" s="2339">
        <v>2314</v>
      </c>
      <c r="I1114" s="2339"/>
      <c r="J1114" s="2340"/>
    </row>
    <row r="1115" spans="1:10" s="2333" customFormat="1" ht="15" customHeight="1">
      <c r="A1115" s="3131"/>
      <c r="B1115" s="3134"/>
      <c r="C1115" s="3137"/>
      <c r="D1115" s="3140"/>
      <c r="E1115" s="2338" t="s">
        <v>599</v>
      </c>
      <c r="F1115" s="2339">
        <f t="shared" si="121"/>
        <v>335</v>
      </c>
      <c r="G1115" s="2339"/>
      <c r="H1115" s="2339">
        <v>335</v>
      </c>
      <c r="I1115" s="2339"/>
      <c r="J1115" s="2340"/>
    </row>
    <row r="1116" spans="1:10" s="2333" customFormat="1" ht="22.5" hidden="1">
      <c r="A1116" s="3131"/>
      <c r="B1116" s="3134"/>
      <c r="C1116" s="3137"/>
      <c r="D1116" s="3140"/>
      <c r="E1116" s="2347" t="s">
        <v>1137</v>
      </c>
      <c r="F1116" s="2348">
        <f>SUM(F1117:F1118)</f>
        <v>0</v>
      </c>
      <c r="G1116" s="2348">
        <f>SUM(G1117:G1118)</f>
        <v>0</v>
      </c>
      <c r="H1116" s="2348">
        <f>SUM(H1117:H1118)</f>
        <v>0</v>
      </c>
      <c r="I1116" s="2348">
        <f>SUM(I1117:I1118)</f>
        <v>0</v>
      </c>
      <c r="J1116" s="2349">
        <f>SUM(J1117:J1118)</f>
        <v>0</v>
      </c>
    </row>
    <row r="1117" spans="1:10" s="2333" customFormat="1" ht="15" hidden="1" customHeight="1">
      <c r="A1117" s="3131"/>
      <c r="B1117" s="3134"/>
      <c r="C1117" s="3137"/>
      <c r="D1117" s="3140"/>
      <c r="E1117" s="2338"/>
      <c r="F1117" s="2339">
        <f t="shared" ref="F1117:F1118" si="122">SUM(G1117:J1117)</f>
        <v>0</v>
      </c>
      <c r="G1117" s="2339"/>
      <c r="H1117" s="2339"/>
      <c r="I1117" s="2339"/>
      <c r="J1117" s="2340"/>
    </row>
    <row r="1118" spans="1:10" s="2333" customFormat="1" ht="15" hidden="1" customHeight="1">
      <c r="A1118" s="3131"/>
      <c r="B1118" s="3134"/>
      <c r="C1118" s="3137"/>
      <c r="D1118" s="3140"/>
      <c r="E1118" s="2338"/>
      <c r="F1118" s="2339">
        <f t="shared" si="122"/>
        <v>0</v>
      </c>
      <c r="G1118" s="2339"/>
      <c r="H1118" s="2339"/>
      <c r="I1118" s="2339"/>
      <c r="J1118" s="2340"/>
    </row>
    <row r="1119" spans="1:10" s="2387" customFormat="1" ht="15" customHeight="1">
      <c r="A1119" s="3132"/>
      <c r="B1119" s="3135"/>
      <c r="C1119" s="3138"/>
      <c r="D1119" s="3141"/>
      <c r="E1119" s="2341" t="s">
        <v>1130</v>
      </c>
      <c r="F1119" s="2336">
        <f>SUM(F1120:F1121)</f>
        <v>0</v>
      </c>
      <c r="G1119" s="2336">
        <f>SUM(G1120:G1121)</f>
        <v>0</v>
      </c>
      <c r="H1119" s="2336">
        <f>SUM(H1120:H1121)</f>
        <v>0</v>
      </c>
      <c r="I1119" s="2336">
        <f>SUM(I1120:I1121)</f>
        <v>0</v>
      </c>
      <c r="J1119" s="2337">
        <f>SUM(J1120:J1121)</f>
        <v>0</v>
      </c>
    </row>
    <row r="1120" spans="1:10" s="2387" customFormat="1" ht="15" hidden="1" customHeight="1">
      <c r="A1120" s="2350"/>
      <c r="B1120" s="2351"/>
      <c r="C1120" s="2352"/>
      <c r="D1120" s="2353"/>
      <c r="E1120" s="2354"/>
      <c r="F1120" s="2355">
        <f>SUM(G1120:J1120)</f>
        <v>0</v>
      </c>
      <c r="G1120" s="2355"/>
      <c r="H1120" s="2355"/>
      <c r="I1120" s="2355"/>
      <c r="J1120" s="2356"/>
    </row>
    <row r="1121" spans="1:10" s="2329" customFormat="1" ht="15" hidden="1" customHeight="1">
      <c r="A1121" s="2350"/>
      <c r="B1121" s="2351"/>
      <c r="C1121" s="2352"/>
      <c r="D1121" s="2353"/>
      <c r="E1121" s="2368"/>
      <c r="F1121" s="2355">
        <f>SUM(G1121:J1121)</f>
        <v>0</v>
      </c>
      <c r="G1121" s="2355"/>
      <c r="H1121" s="2355"/>
      <c r="I1121" s="2355"/>
      <c r="J1121" s="2356"/>
    </row>
    <row r="1122" spans="1:10" s="2333" customFormat="1" ht="22.5">
      <c r="A1122" s="3130" t="s">
        <v>1131</v>
      </c>
      <c r="B1122" s="3133" t="s">
        <v>1237</v>
      </c>
      <c r="C1122" s="3136">
        <v>852</v>
      </c>
      <c r="D1122" s="3139" t="s">
        <v>841</v>
      </c>
      <c r="E1122" s="2330" t="s">
        <v>1129</v>
      </c>
      <c r="F1122" s="2331">
        <f>SUM(F1123,F1138)</f>
        <v>720000</v>
      </c>
      <c r="G1122" s="2331">
        <f>SUM(G1123,G1138)</f>
        <v>108000</v>
      </c>
      <c r="H1122" s="2331">
        <f>SUM(H1123,H1138)</f>
        <v>612000</v>
      </c>
      <c r="I1122" s="2331">
        <f>SUM(I1123,I1138)</f>
        <v>0</v>
      </c>
      <c r="J1122" s="2332">
        <f>SUM(J1123,J1138)</f>
        <v>0</v>
      </c>
    </row>
    <row r="1123" spans="1:10" s="2333" customFormat="1" ht="21">
      <c r="A1123" s="3131"/>
      <c r="B1123" s="3134"/>
      <c r="C1123" s="3137"/>
      <c r="D1123" s="3140"/>
      <c r="E1123" s="2335" t="s">
        <v>1135</v>
      </c>
      <c r="F1123" s="2336">
        <f>SUM(F1124,F1133)</f>
        <v>720000</v>
      </c>
      <c r="G1123" s="2336">
        <f>SUM(G1124,G1133)</f>
        <v>108000</v>
      </c>
      <c r="H1123" s="2336">
        <f>SUM(H1124,H1133)</f>
        <v>612000</v>
      </c>
      <c r="I1123" s="2336">
        <f>SUM(I1124,I1133)</f>
        <v>0</v>
      </c>
      <c r="J1123" s="2337">
        <f>SUM(J1124,J1133)</f>
        <v>0</v>
      </c>
    </row>
    <row r="1124" spans="1:10" s="2333" customFormat="1" ht="22.5">
      <c r="A1124" s="3131"/>
      <c r="B1124" s="3134"/>
      <c r="C1124" s="3137"/>
      <c r="D1124" s="3140"/>
      <c r="E1124" s="2347" t="s">
        <v>1136</v>
      </c>
      <c r="F1124" s="2348">
        <f>SUM(F1125:F1132)</f>
        <v>341934</v>
      </c>
      <c r="G1124" s="2348">
        <f>SUM(G1125:G1132)</f>
        <v>103000</v>
      </c>
      <c r="H1124" s="2348">
        <f>SUM(H1125:H1132)</f>
        <v>238934</v>
      </c>
      <c r="I1124" s="2348">
        <f>SUM(I1125:I1132)</f>
        <v>0</v>
      </c>
      <c r="J1124" s="2349">
        <f>SUM(J1125:J1132)</f>
        <v>0</v>
      </c>
    </row>
    <row r="1125" spans="1:10" s="2333" customFormat="1" ht="15" customHeight="1">
      <c r="A1125" s="3131"/>
      <c r="B1125" s="3134"/>
      <c r="C1125" s="3137"/>
      <c r="D1125" s="3140"/>
      <c r="E1125" s="2338" t="s">
        <v>596</v>
      </c>
      <c r="F1125" s="2339">
        <f t="shared" ref="F1125:F1132" si="123">SUM(G1125:J1125)</f>
        <v>200144</v>
      </c>
      <c r="G1125" s="2339"/>
      <c r="H1125" s="2339">
        <v>200144</v>
      </c>
      <c r="I1125" s="2339"/>
      <c r="J1125" s="2340"/>
    </row>
    <row r="1126" spans="1:10" s="2333" customFormat="1" ht="15" customHeight="1">
      <c r="A1126" s="3131"/>
      <c r="B1126" s="3134"/>
      <c r="C1126" s="3137"/>
      <c r="D1126" s="3140"/>
      <c r="E1126" s="2338" t="s">
        <v>541</v>
      </c>
      <c r="F1126" s="2339">
        <f t="shared" si="123"/>
        <v>86280</v>
      </c>
      <c r="G1126" s="2339">
        <v>86280</v>
      </c>
      <c r="H1126" s="2339"/>
      <c r="I1126" s="2339"/>
      <c r="J1126" s="2340"/>
    </row>
    <row r="1127" spans="1:10" s="2333" customFormat="1" ht="15" customHeight="1">
      <c r="A1127" s="3131"/>
      <c r="B1127" s="3134"/>
      <c r="C1127" s="3137"/>
      <c r="D1127" s="3140"/>
      <c r="E1127" s="2338" t="s">
        <v>598</v>
      </c>
      <c r="F1127" s="2339">
        <f t="shared" si="123"/>
        <v>33885</v>
      </c>
      <c r="G1127" s="2339"/>
      <c r="H1127" s="2339">
        <v>33885</v>
      </c>
      <c r="I1127" s="2339"/>
      <c r="J1127" s="2340"/>
    </row>
    <row r="1128" spans="1:10" s="2333" customFormat="1" ht="15" customHeight="1">
      <c r="A1128" s="3131"/>
      <c r="B1128" s="3134"/>
      <c r="C1128" s="3137"/>
      <c r="D1128" s="3140"/>
      <c r="E1128" s="2338" t="s">
        <v>545</v>
      </c>
      <c r="F1128" s="2339">
        <f t="shared" si="123"/>
        <v>14607</v>
      </c>
      <c r="G1128" s="2339">
        <v>14607</v>
      </c>
      <c r="H1128" s="2339"/>
      <c r="I1128" s="2339"/>
      <c r="J1128" s="2340"/>
    </row>
    <row r="1129" spans="1:10" s="2333" customFormat="1" ht="15" customHeight="1">
      <c r="A1129" s="3131"/>
      <c r="B1129" s="3134"/>
      <c r="C1129" s="3137"/>
      <c r="D1129" s="3140"/>
      <c r="E1129" s="2338" t="s">
        <v>599</v>
      </c>
      <c r="F1129" s="2339">
        <f t="shared" si="123"/>
        <v>4905</v>
      </c>
      <c r="G1129" s="2339"/>
      <c r="H1129" s="2339">
        <v>4905</v>
      </c>
      <c r="I1129" s="2339"/>
      <c r="J1129" s="2340"/>
    </row>
    <row r="1130" spans="1:10" s="2333" customFormat="1" ht="15" customHeight="1">
      <c r="A1130" s="3131"/>
      <c r="B1130" s="3134"/>
      <c r="C1130" s="3137"/>
      <c r="D1130" s="3140"/>
      <c r="E1130" s="2338" t="s">
        <v>547</v>
      </c>
      <c r="F1130" s="2339">
        <f t="shared" si="123"/>
        <v>2113</v>
      </c>
      <c r="G1130" s="2339">
        <v>2113</v>
      </c>
      <c r="H1130" s="2339"/>
      <c r="I1130" s="2339"/>
      <c r="J1130" s="2340"/>
    </row>
    <row r="1131" spans="1:10" s="2333" customFormat="1" ht="15" hidden="1" customHeight="1">
      <c r="A1131" s="3131"/>
      <c r="B1131" s="3134"/>
      <c r="C1131" s="3137"/>
      <c r="D1131" s="3140"/>
      <c r="E1131" s="2338" t="s">
        <v>673</v>
      </c>
      <c r="F1131" s="2339">
        <f t="shared" si="123"/>
        <v>0</v>
      </c>
      <c r="G1131" s="2339"/>
      <c r="H1131" s="2339"/>
      <c r="I1131" s="2339"/>
      <c r="J1131" s="2340"/>
    </row>
    <row r="1132" spans="1:10" s="2333" customFormat="1" ht="15" hidden="1" customHeight="1">
      <c r="A1132" s="3131"/>
      <c r="B1132" s="3134"/>
      <c r="C1132" s="3137"/>
      <c r="D1132" s="3140"/>
      <c r="E1132" s="2338" t="s">
        <v>549</v>
      </c>
      <c r="F1132" s="2339">
        <f t="shared" si="123"/>
        <v>0</v>
      </c>
      <c r="G1132" s="2339"/>
      <c r="H1132" s="2339"/>
      <c r="I1132" s="2339"/>
      <c r="J1132" s="2340"/>
    </row>
    <row r="1133" spans="1:10" s="2333" customFormat="1" ht="22.5">
      <c r="A1133" s="3131"/>
      <c r="B1133" s="3134"/>
      <c r="C1133" s="3137"/>
      <c r="D1133" s="3140"/>
      <c r="E1133" s="2347" t="s">
        <v>1137</v>
      </c>
      <c r="F1133" s="2348">
        <f>SUM(F1134:F1137)</f>
        <v>378066</v>
      </c>
      <c r="G1133" s="2348">
        <f>SUM(G1134:G1137)</f>
        <v>5000</v>
      </c>
      <c r="H1133" s="2348">
        <f>SUM(H1134:H1137)</f>
        <v>373066</v>
      </c>
      <c r="I1133" s="2348">
        <f>SUM(I1134:I1137)</f>
        <v>0</v>
      </c>
      <c r="J1133" s="2349">
        <f>SUM(J1134:J1137)</f>
        <v>0</v>
      </c>
    </row>
    <row r="1134" spans="1:10" s="2333" customFormat="1" ht="15" customHeight="1">
      <c r="A1134" s="3131"/>
      <c r="B1134" s="3134"/>
      <c r="C1134" s="3137"/>
      <c r="D1134" s="3140"/>
      <c r="E1134" s="2338" t="s">
        <v>600</v>
      </c>
      <c r="F1134" s="2339">
        <f t="shared" ref="F1134:F1137" si="124">SUM(G1134:J1134)</f>
        <v>4000</v>
      </c>
      <c r="G1134" s="2339"/>
      <c r="H1134" s="2339">
        <f>4000+462-462</f>
        <v>4000</v>
      </c>
      <c r="I1134" s="2339"/>
      <c r="J1134" s="2340"/>
    </row>
    <row r="1135" spans="1:10" s="2333" customFormat="1" ht="15" customHeight="1">
      <c r="A1135" s="3131"/>
      <c r="B1135" s="3134"/>
      <c r="C1135" s="3137"/>
      <c r="D1135" s="3140"/>
      <c r="E1135" s="2338" t="s">
        <v>601</v>
      </c>
      <c r="F1135" s="2339">
        <f t="shared" si="124"/>
        <v>366798</v>
      </c>
      <c r="G1135" s="2339"/>
      <c r="H1135" s="2339">
        <v>366798</v>
      </c>
      <c r="I1135" s="2339"/>
      <c r="J1135" s="2340"/>
    </row>
    <row r="1136" spans="1:10" s="2333" customFormat="1" ht="15" customHeight="1">
      <c r="A1136" s="3131"/>
      <c r="B1136" s="3134"/>
      <c r="C1136" s="3137"/>
      <c r="D1136" s="3140"/>
      <c r="E1136" s="2338" t="s">
        <v>558</v>
      </c>
      <c r="F1136" s="2339">
        <f t="shared" si="124"/>
        <v>5000</v>
      </c>
      <c r="G1136" s="2339">
        <v>5000</v>
      </c>
      <c r="H1136" s="2339"/>
      <c r="I1136" s="2339"/>
      <c r="J1136" s="2340"/>
    </row>
    <row r="1137" spans="1:11" s="2387" customFormat="1" ht="15" customHeight="1">
      <c r="A1137" s="3131"/>
      <c r="B1137" s="3134"/>
      <c r="C1137" s="3137"/>
      <c r="D1137" s="3140"/>
      <c r="E1137" s="2338" t="s">
        <v>602</v>
      </c>
      <c r="F1137" s="2339">
        <f t="shared" si="124"/>
        <v>2268</v>
      </c>
      <c r="G1137" s="2339"/>
      <c r="H1137" s="2339">
        <v>2268</v>
      </c>
      <c r="I1137" s="2339"/>
      <c r="J1137" s="2340"/>
    </row>
    <row r="1138" spans="1:11" s="2387" customFormat="1" ht="15" customHeight="1">
      <c r="A1138" s="3132"/>
      <c r="B1138" s="3135"/>
      <c r="C1138" s="3138"/>
      <c r="D1138" s="3141"/>
      <c r="E1138" s="2341" t="s">
        <v>1130</v>
      </c>
      <c r="F1138" s="2336">
        <f>SUM(F1139:F1140)</f>
        <v>0</v>
      </c>
      <c r="G1138" s="2336">
        <f>SUM(G1139:G1140)</f>
        <v>0</v>
      </c>
      <c r="H1138" s="2336">
        <f>SUM(H1139:H1140)</f>
        <v>0</v>
      </c>
      <c r="I1138" s="2336">
        <f>SUM(I1139:I1140)</f>
        <v>0</v>
      </c>
      <c r="J1138" s="2337">
        <f>SUM(J1139:J1140)</f>
        <v>0</v>
      </c>
    </row>
    <row r="1139" spans="1:11" s="2387" customFormat="1" ht="15" hidden="1" customHeight="1">
      <c r="A1139" s="2350"/>
      <c r="B1139" s="2351"/>
      <c r="C1139" s="2352"/>
      <c r="D1139" s="2353"/>
      <c r="E1139" s="2354"/>
      <c r="F1139" s="2355">
        <f>SUM(G1139:J1139)</f>
        <v>0</v>
      </c>
      <c r="G1139" s="2355"/>
      <c r="H1139" s="2355"/>
      <c r="I1139" s="2355"/>
      <c r="J1139" s="2356"/>
    </row>
    <row r="1140" spans="1:11" s="2329" customFormat="1" ht="15" hidden="1" customHeight="1">
      <c r="A1140" s="2350"/>
      <c r="B1140" s="2351"/>
      <c r="C1140" s="2352"/>
      <c r="D1140" s="2353"/>
      <c r="E1140" s="2368"/>
      <c r="F1140" s="2355">
        <f>SUM(G1140:J1140)</f>
        <v>0</v>
      </c>
      <c r="G1140" s="2355"/>
      <c r="H1140" s="2355"/>
      <c r="I1140" s="2355"/>
      <c r="J1140" s="2356"/>
    </row>
    <row r="1141" spans="1:11" s="2333" customFormat="1" ht="22.5">
      <c r="A1141" s="3115" t="s">
        <v>1133</v>
      </c>
      <c r="B1141" s="3116" t="s">
        <v>1238</v>
      </c>
      <c r="C1141" s="3117">
        <v>855</v>
      </c>
      <c r="D1141" s="3118" t="s">
        <v>1064</v>
      </c>
      <c r="E1141" s="2330" t="s">
        <v>1129</v>
      </c>
      <c r="F1141" s="2331">
        <f>SUM(F1142,F1163)</f>
        <v>3914391</v>
      </c>
      <c r="G1141" s="2331">
        <f>SUM(G1142,G1163)</f>
        <v>0</v>
      </c>
      <c r="H1141" s="2331">
        <f>SUM(H1142,H1163)</f>
        <v>3502349</v>
      </c>
      <c r="I1141" s="2331">
        <f>SUM(I1142,I1163)</f>
        <v>412042</v>
      </c>
      <c r="J1141" s="2332">
        <f>SUM(J1142,J1163)</f>
        <v>0</v>
      </c>
    </row>
    <row r="1142" spans="1:11" s="2333" customFormat="1" ht="21">
      <c r="A1142" s="3115"/>
      <c r="B1142" s="3116"/>
      <c r="C1142" s="3117"/>
      <c r="D1142" s="3118"/>
      <c r="E1142" s="2335" t="s">
        <v>1135</v>
      </c>
      <c r="F1142" s="2336">
        <f>SUM(F1143,F1145,F1152)</f>
        <v>2419390</v>
      </c>
      <c r="G1142" s="2336">
        <f>SUM(G1143,G1145,G1152)</f>
        <v>0</v>
      </c>
      <c r="H1142" s="2336">
        <f>SUM(H1143,H1145,H1152)</f>
        <v>2164717</v>
      </c>
      <c r="I1142" s="2336">
        <f>SUM(I1143,I1145,I1152)</f>
        <v>254673</v>
      </c>
      <c r="J1142" s="2337">
        <f>SUM(J1143,J1145,J1152)</f>
        <v>0</v>
      </c>
    </row>
    <row r="1143" spans="1:11" s="2333" customFormat="1" ht="15" customHeight="1">
      <c r="A1143" s="3115"/>
      <c r="B1143" s="3116"/>
      <c r="C1143" s="3117"/>
      <c r="D1143" s="3118"/>
      <c r="E1143" s="2347" t="s">
        <v>1150</v>
      </c>
      <c r="F1143" s="2348">
        <f>SUM(F1144)</f>
        <v>880000</v>
      </c>
      <c r="G1143" s="2348">
        <f t="shared" ref="G1143:J1143" si="125">SUM(G1144)</f>
        <v>0</v>
      </c>
      <c r="H1143" s="2348">
        <f t="shared" si="125"/>
        <v>880000</v>
      </c>
      <c r="I1143" s="2348">
        <f t="shared" si="125"/>
        <v>0</v>
      </c>
      <c r="J1143" s="2349">
        <f t="shared" si="125"/>
        <v>0</v>
      </c>
    </row>
    <row r="1144" spans="1:11" s="2333" customFormat="1" ht="15" customHeight="1">
      <c r="A1144" s="3115"/>
      <c r="B1144" s="3116"/>
      <c r="C1144" s="3117"/>
      <c r="D1144" s="3118"/>
      <c r="E1144" s="2338" t="s">
        <v>381</v>
      </c>
      <c r="F1144" s="2339">
        <f>SUM(G1144:J1144)</f>
        <v>880000</v>
      </c>
      <c r="G1144" s="2339"/>
      <c r="H1144" s="2339">
        <v>880000</v>
      </c>
      <c r="I1144" s="2339"/>
      <c r="J1144" s="2340"/>
    </row>
    <row r="1145" spans="1:11" s="2333" customFormat="1" ht="22.5">
      <c r="A1145" s="3115"/>
      <c r="B1145" s="3116"/>
      <c r="C1145" s="3117"/>
      <c r="D1145" s="3118"/>
      <c r="E1145" s="2347" t="s">
        <v>1136</v>
      </c>
      <c r="F1145" s="2348">
        <f>SUM(F1146:F1151)</f>
        <v>780658</v>
      </c>
      <c r="G1145" s="2348">
        <f>SUM(G1146:G1151)</f>
        <v>0</v>
      </c>
      <c r="H1145" s="2348">
        <f>SUM(H1146:H1151)</f>
        <v>780658</v>
      </c>
      <c r="I1145" s="2348">
        <f>SUM(I1146:I1151)</f>
        <v>0</v>
      </c>
      <c r="J1145" s="2349">
        <f>SUM(J1146:J1151)</f>
        <v>0</v>
      </c>
      <c r="K1145" s="2334"/>
    </row>
    <row r="1146" spans="1:11" s="2333" customFormat="1" ht="15" customHeight="1">
      <c r="A1146" s="3115"/>
      <c r="B1146" s="3116"/>
      <c r="C1146" s="3117"/>
      <c r="D1146" s="3118"/>
      <c r="E1146" s="2338" t="s">
        <v>596</v>
      </c>
      <c r="F1146" s="2339">
        <f t="shared" ref="F1146:F1151" si="126">SUM(G1146:J1146)</f>
        <v>395466</v>
      </c>
      <c r="G1146" s="2339"/>
      <c r="H1146" s="2339">
        <v>395466</v>
      </c>
      <c r="I1146" s="2339"/>
      <c r="J1146" s="2340"/>
    </row>
    <row r="1147" spans="1:11" s="2333" customFormat="1" ht="15" customHeight="1">
      <c r="A1147" s="3115"/>
      <c r="B1147" s="3116"/>
      <c r="C1147" s="3117"/>
      <c r="D1147" s="3118"/>
      <c r="E1147" s="2338" t="s">
        <v>597</v>
      </c>
      <c r="F1147" s="2339">
        <f t="shared" si="126"/>
        <v>9173</v>
      </c>
      <c r="G1147" s="2339"/>
      <c r="H1147" s="2339">
        <v>9173</v>
      </c>
      <c r="I1147" s="2339"/>
      <c r="J1147" s="2340"/>
    </row>
    <row r="1148" spans="1:11" s="2333" customFormat="1" ht="15" customHeight="1">
      <c r="A1148" s="3115"/>
      <c r="B1148" s="3116"/>
      <c r="C1148" s="3117"/>
      <c r="D1148" s="3118"/>
      <c r="E1148" s="2338" t="s">
        <v>598</v>
      </c>
      <c r="F1148" s="2339">
        <f t="shared" si="126"/>
        <v>68505</v>
      </c>
      <c r="G1148" s="2339"/>
      <c r="H1148" s="2339">
        <v>68505</v>
      </c>
      <c r="I1148" s="2339"/>
      <c r="J1148" s="2340"/>
    </row>
    <row r="1149" spans="1:11" s="2333" customFormat="1" ht="15" customHeight="1">
      <c r="A1149" s="3115"/>
      <c r="B1149" s="3116"/>
      <c r="C1149" s="3117"/>
      <c r="D1149" s="3118"/>
      <c r="E1149" s="2338" t="s">
        <v>599</v>
      </c>
      <c r="F1149" s="2339">
        <f t="shared" si="126"/>
        <v>9914</v>
      </c>
      <c r="G1149" s="2339"/>
      <c r="H1149" s="2339">
        <v>9914</v>
      </c>
      <c r="I1149" s="2339"/>
      <c r="J1149" s="2340"/>
    </row>
    <row r="1150" spans="1:11" s="2333" customFormat="1" ht="15" customHeight="1">
      <c r="A1150" s="3115"/>
      <c r="B1150" s="3116"/>
      <c r="C1150" s="3117"/>
      <c r="D1150" s="3118"/>
      <c r="E1150" s="2338" t="s">
        <v>673</v>
      </c>
      <c r="F1150" s="2339">
        <f t="shared" si="126"/>
        <v>297600</v>
      </c>
      <c r="G1150" s="2339"/>
      <c r="H1150" s="2339">
        <v>297600</v>
      </c>
      <c r="I1150" s="2339"/>
      <c r="J1150" s="2340"/>
    </row>
    <row r="1151" spans="1:11" s="2333" customFormat="1" ht="15" hidden="1" customHeight="1">
      <c r="A1151" s="3115"/>
      <c r="B1151" s="3116"/>
      <c r="C1151" s="3117"/>
      <c r="D1151" s="3118"/>
      <c r="E1151" s="2338" t="s">
        <v>549</v>
      </c>
      <c r="F1151" s="2339">
        <f t="shared" si="126"/>
        <v>0</v>
      </c>
      <c r="G1151" s="2339"/>
      <c r="H1151" s="2339"/>
      <c r="I1151" s="2339"/>
      <c r="J1151" s="2340"/>
    </row>
    <row r="1152" spans="1:11" s="2333" customFormat="1" ht="22.5">
      <c r="A1152" s="3115"/>
      <c r="B1152" s="3116"/>
      <c r="C1152" s="3117"/>
      <c r="D1152" s="3118"/>
      <c r="E1152" s="2347" t="s">
        <v>1137</v>
      </c>
      <c r="F1152" s="2348">
        <f>SUM(F1153:F1162)</f>
        <v>758732</v>
      </c>
      <c r="G1152" s="2348">
        <f>SUM(G1153:G1162)</f>
        <v>0</v>
      </c>
      <c r="H1152" s="2348">
        <f t="shared" ref="H1152:J1152" si="127">SUM(H1153:H1162)</f>
        <v>504059</v>
      </c>
      <c r="I1152" s="2348">
        <f t="shared" si="127"/>
        <v>254673</v>
      </c>
      <c r="J1152" s="2349">
        <f t="shared" si="127"/>
        <v>0</v>
      </c>
    </row>
    <row r="1153" spans="1:10" s="2333" customFormat="1" ht="15" customHeight="1">
      <c r="A1153" s="3115"/>
      <c r="B1153" s="3116"/>
      <c r="C1153" s="3117"/>
      <c r="D1153" s="3118"/>
      <c r="E1153" s="2338" t="s">
        <v>600</v>
      </c>
      <c r="F1153" s="2339">
        <f t="shared" ref="F1153:F1162" si="128">SUM(G1153:J1153)</f>
        <v>64291</v>
      </c>
      <c r="G1153" s="2339"/>
      <c r="H1153" s="2339">
        <v>64291</v>
      </c>
      <c r="I1153" s="2339"/>
      <c r="J1153" s="2340"/>
    </row>
    <row r="1154" spans="1:10" s="2333" customFormat="1" ht="15" customHeight="1">
      <c r="A1154" s="3115"/>
      <c r="B1154" s="3116"/>
      <c r="C1154" s="3117"/>
      <c r="D1154" s="3118"/>
      <c r="E1154" s="2338" t="s">
        <v>786</v>
      </c>
      <c r="F1154" s="2339">
        <f t="shared" si="128"/>
        <v>3500</v>
      </c>
      <c r="G1154" s="2339"/>
      <c r="H1154" s="2339">
        <v>3500</v>
      </c>
      <c r="I1154" s="2339"/>
      <c r="J1154" s="2340"/>
    </row>
    <row r="1155" spans="1:10" s="2333" customFormat="1" ht="15" customHeight="1">
      <c r="A1155" s="3115"/>
      <c r="B1155" s="3116"/>
      <c r="C1155" s="3117"/>
      <c r="D1155" s="3118"/>
      <c r="E1155" s="2338" t="s">
        <v>844</v>
      </c>
      <c r="F1155" s="2339">
        <f t="shared" si="128"/>
        <v>1800</v>
      </c>
      <c r="G1155" s="2339"/>
      <c r="H1155" s="2339">
        <v>1800</v>
      </c>
      <c r="I1155" s="2339"/>
      <c r="J1155" s="2340"/>
    </row>
    <row r="1156" spans="1:10" s="2333" customFormat="1" ht="15" customHeight="1">
      <c r="A1156" s="3115"/>
      <c r="B1156" s="3116"/>
      <c r="C1156" s="3117"/>
      <c r="D1156" s="3118"/>
      <c r="E1156" s="2338" t="s">
        <v>601</v>
      </c>
      <c r="F1156" s="2339">
        <f t="shared" si="128"/>
        <v>406721</v>
      </c>
      <c r="G1156" s="2339"/>
      <c r="H1156" s="2339">
        <v>406721</v>
      </c>
      <c r="I1156" s="2339"/>
      <c r="J1156" s="2340"/>
    </row>
    <row r="1157" spans="1:10" s="2333" customFormat="1" ht="15" customHeight="1">
      <c r="A1157" s="3115"/>
      <c r="B1157" s="3116"/>
      <c r="C1157" s="3117"/>
      <c r="D1157" s="3118"/>
      <c r="E1157" s="2338" t="s">
        <v>558</v>
      </c>
      <c r="F1157" s="2339">
        <f t="shared" si="128"/>
        <v>254673</v>
      </c>
      <c r="G1157" s="2339"/>
      <c r="H1157" s="2339"/>
      <c r="I1157" s="2339">
        <v>254673</v>
      </c>
      <c r="J1157" s="2340"/>
    </row>
    <row r="1158" spans="1:10" s="2333" customFormat="1" ht="15" customHeight="1">
      <c r="A1158" s="3115"/>
      <c r="B1158" s="3116"/>
      <c r="C1158" s="3117"/>
      <c r="D1158" s="3118"/>
      <c r="E1158" s="2338" t="s">
        <v>790</v>
      </c>
      <c r="F1158" s="2339">
        <f t="shared" si="128"/>
        <v>3000</v>
      </c>
      <c r="G1158" s="2339"/>
      <c r="H1158" s="2339">
        <v>3000</v>
      </c>
      <c r="I1158" s="2339"/>
      <c r="J1158" s="2340"/>
    </row>
    <row r="1159" spans="1:10" s="2333" customFormat="1" ht="15" customHeight="1">
      <c r="A1159" s="3115"/>
      <c r="B1159" s="3116"/>
      <c r="C1159" s="3117"/>
      <c r="D1159" s="3118"/>
      <c r="E1159" s="2338" t="s">
        <v>602</v>
      </c>
      <c r="F1159" s="2339">
        <f t="shared" si="128"/>
        <v>15246</v>
      </c>
      <c r="G1159" s="2339"/>
      <c r="H1159" s="2339">
        <v>15246</v>
      </c>
      <c r="I1159" s="2339"/>
      <c r="J1159" s="2340"/>
    </row>
    <row r="1160" spans="1:10" s="2333" customFormat="1" ht="15" customHeight="1">
      <c r="A1160" s="3115"/>
      <c r="B1160" s="3116"/>
      <c r="C1160" s="3117"/>
      <c r="D1160" s="3118"/>
      <c r="E1160" s="2338" t="s">
        <v>846</v>
      </c>
      <c r="F1160" s="2339">
        <f t="shared" si="128"/>
        <v>7501</v>
      </c>
      <c r="G1160" s="2339"/>
      <c r="H1160" s="2339">
        <v>7501</v>
      </c>
      <c r="I1160" s="2339"/>
      <c r="J1160" s="2340"/>
    </row>
    <row r="1161" spans="1:10" s="2333" customFormat="1" ht="15" customHeight="1">
      <c r="A1161" s="3115"/>
      <c r="B1161" s="3116"/>
      <c r="C1161" s="3117"/>
      <c r="D1161" s="3118"/>
      <c r="E1161" s="2338" t="s">
        <v>848</v>
      </c>
      <c r="F1161" s="2339">
        <f t="shared" si="128"/>
        <v>1000</v>
      </c>
      <c r="G1161" s="2339"/>
      <c r="H1161" s="2339">
        <v>1000</v>
      </c>
      <c r="I1161" s="2339"/>
      <c r="J1161" s="2340"/>
    </row>
    <row r="1162" spans="1:10" s="2333" customFormat="1" ht="15" customHeight="1">
      <c r="A1162" s="3115"/>
      <c r="B1162" s="3116"/>
      <c r="C1162" s="3117"/>
      <c r="D1162" s="3118"/>
      <c r="E1162" s="2338" t="s">
        <v>850</v>
      </c>
      <c r="F1162" s="2339">
        <f t="shared" si="128"/>
        <v>1000</v>
      </c>
      <c r="G1162" s="2339"/>
      <c r="H1162" s="2339">
        <v>1000</v>
      </c>
      <c r="I1162" s="2339"/>
      <c r="J1162" s="2340"/>
    </row>
    <row r="1163" spans="1:10" s="2387" customFormat="1" ht="15" customHeight="1">
      <c r="A1163" s="3115"/>
      <c r="B1163" s="3116"/>
      <c r="C1163" s="3117"/>
      <c r="D1163" s="3118"/>
      <c r="E1163" s="2341" t="s">
        <v>1130</v>
      </c>
      <c r="F1163" s="2336">
        <f>SUM(F1164:F1166)</f>
        <v>1495001</v>
      </c>
      <c r="G1163" s="2336">
        <f>SUM(G1164:G1166)</f>
        <v>0</v>
      </c>
      <c r="H1163" s="2336">
        <f>SUM(H1164:H1166)</f>
        <v>1337632</v>
      </c>
      <c r="I1163" s="2336">
        <f>SUM(I1164:I1166)</f>
        <v>157369</v>
      </c>
      <c r="J1163" s="2337">
        <f>SUM(J1164:J1166)</f>
        <v>0</v>
      </c>
    </row>
    <row r="1164" spans="1:10" s="2387" customFormat="1" ht="15" customHeight="1">
      <c r="A1164" s="3115"/>
      <c r="B1164" s="3116"/>
      <c r="C1164" s="3117"/>
      <c r="D1164" s="3118"/>
      <c r="E1164" s="2338" t="s">
        <v>625</v>
      </c>
      <c r="F1164" s="2339">
        <f>SUM(G1164:J1164)</f>
        <v>1105000</v>
      </c>
      <c r="G1164" s="2339"/>
      <c r="H1164" s="2339">
        <v>1105000</v>
      </c>
      <c r="I1164" s="2339"/>
      <c r="J1164" s="2340"/>
    </row>
    <row r="1165" spans="1:10" s="2387" customFormat="1" ht="15" customHeight="1">
      <c r="A1165" s="3115"/>
      <c r="B1165" s="3116"/>
      <c r="C1165" s="3117"/>
      <c r="D1165" s="3118"/>
      <c r="E1165" s="2338" t="s">
        <v>604</v>
      </c>
      <c r="F1165" s="2339">
        <f>SUM(G1165:J1165)</f>
        <v>232632</v>
      </c>
      <c r="G1165" s="2339"/>
      <c r="H1165" s="2339">
        <v>232632</v>
      </c>
      <c r="I1165" s="2339"/>
      <c r="J1165" s="2340"/>
    </row>
    <row r="1166" spans="1:10" s="2329" customFormat="1" ht="15" customHeight="1">
      <c r="A1166" s="3115"/>
      <c r="B1166" s="3116"/>
      <c r="C1166" s="3117"/>
      <c r="D1166" s="3118"/>
      <c r="E1166" s="2344">
        <v>6069</v>
      </c>
      <c r="F1166" s="2339">
        <f>SUM(G1166:J1166)</f>
        <v>157369</v>
      </c>
      <c r="G1166" s="2339"/>
      <c r="H1166" s="2339"/>
      <c r="I1166" s="2339">
        <v>157369</v>
      </c>
      <c r="J1166" s="2340"/>
    </row>
    <row r="1167" spans="1:10" s="2333" customFormat="1" ht="22.5">
      <c r="A1167" s="3130" t="s">
        <v>1138</v>
      </c>
      <c r="B1167" s="3133" t="s">
        <v>1239</v>
      </c>
      <c r="C1167" s="3136">
        <v>853</v>
      </c>
      <c r="D1167" s="3139" t="s">
        <v>861</v>
      </c>
      <c r="E1167" s="2330" t="s">
        <v>1129</v>
      </c>
      <c r="F1167" s="2331">
        <f>SUM(F1168,F1187)</f>
        <v>77046</v>
      </c>
      <c r="G1167" s="2331">
        <f>SUM(G1168,G1187)</f>
        <v>0</v>
      </c>
      <c r="H1167" s="2331">
        <f>SUM(H1168,H1187)</f>
        <v>64934</v>
      </c>
      <c r="I1167" s="2331">
        <f>SUM(I1168,I1187)</f>
        <v>12112</v>
      </c>
      <c r="J1167" s="2332">
        <f>SUM(J1168,J1187)</f>
        <v>0</v>
      </c>
    </row>
    <row r="1168" spans="1:10" s="2333" customFormat="1" ht="21">
      <c r="A1168" s="3131"/>
      <c r="B1168" s="3134"/>
      <c r="C1168" s="3137"/>
      <c r="D1168" s="3140"/>
      <c r="E1168" s="2335" t="s">
        <v>1135</v>
      </c>
      <c r="F1168" s="2336">
        <f>SUM(F1169,F1171,F1180)</f>
        <v>77046</v>
      </c>
      <c r="G1168" s="2336">
        <f>SUM(G1169,G1171,G1180)</f>
        <v>0</v>
      </c>
      <c r="H1168" s="2336">
        <f>SUM(H1169,H1171,H1180)</f>
        <v>64934</v>
      </c>
      <c r="I1168" s="2336">
        <f>SUM(I1169,I1171,I1180)</f>
        <v>12112</v>
      </c>
      <c r="J1168" s="2337">
        <f>SUM(J1169,J1171,J1180)</f>
        <v>0</v>
      </c>
    </row>
    <row r="1169" spans="1:11" s="2333" customFormat="1" ht="15" hidden="1" customHeight="1">
      <c r="A1169" s="3131"/>
      <c r="B1169" s="3134"/>
      <c r="C1169" s="3137"/>
      <c r="D1169" s="3140"/>
      <c r="E1169" s="2347" t="s">
        <v>1150</v>
      </c>
      <c r="F1169" s="2348">
        <f>SUM(F1170)</f>
        <v>0</v>
      </c>
      <c r="G1169" s="2348">
        <f t="shared" ref="G1169:J1169" si="129">SUM(G1170)</f>
        <v>0</v>
      </c>
      <c r="H1169" s="2348">
        <f t="shared" si="129"/>
        <v>0</v>
      </c>
      <c r="I1169" s="2348">
        <f t="shared" si="129"/>
        <v>0</v>
      </c>
      <c r="J1169" s="2349">
        <f t="shared" si="129"/>
        <v>0</v>
      </c>
    </row>
    <row r="1170" spans="1:11" s="2333" customFormat="1" ht="15" hidden="1" customHeight="1">
      <c r="A1170" s="3131"/>
      <c r="B1170" s="3134"/>
      <c r="C1170" s="3137"/>
      <c r="D1170" s="3140"/>
      <c r="E1170" s="2338" t="s">
        <v>381</v>
      </c>
      <c r="F1170" s="2339">
        <f>SUM(G1170:J1170)</f>
        <v>0</v>
      </c>
      <c r="G1170" s="2339"/>
      <c r="H1170" s="2339"/>
      <c r="I1170" s="2339"/>
      <c r="J1170" s="2340"/>
    </row>
    <row r="1171" spans="1:11" s="2333" customFormat="1" ht="22.5">
      <c r="A1171" s="3131"/>
      <c r="B1171" s="3134"/>
      <c r="C1171" s="3137"/>
      <c r="D1171" s="3140"/>
      <c r="E1171" s="2347" t="s">
        <v>1136</v>
      </c>
      <c r="F1171" s="2348">
        <f>SUM(F1172:F1179)</f>
        <v>74246</v>
      </c>
      <c r="G1171" s="2348">
        <f>SUM(G1172:G1179)</f>
        <v>0</v>
      </c>
      <c r="H1171" s="2348">
        <f>SUM(H1172:H1179)</f>
        <v>62574</v>
      </c>
      <c r="I1171" s="2348">
        <f>SUM(I1172:I1179)</f>
        <v>11672</v>
      </c>
      <c r="J1171" s="2349">
        <f>SUM(J1172:J1179)</f>
        <v>0</v>
      </c>
    </row>
    <row r="1172" spans="1:11" s="2333" customFormat="1" ht="15" customHeight="1">
      <c r="A1172" s="3131"/>
      <c r="B1172" s="3134"/>
      <c r="C1172" s="3137"/>
      <c r="D1172" s="3140"/>
      <c r="E1172" s="2338" t="s">
        <v>596</v>
      </c>
      <c r="F1172" s="2339">
        <f t="shared" ref="F1172:F1179" si="130">SUM(G1172:J1172)</f>
        <v>48879</v>
      </c>
      <c r="G1172" s="2339"/>
      <c r="H1172" s="2339">
        <v>48879</v>
      </c>
      <c r="I1172" s="2339"/>
      <c r="J1172" s="2340"/>
    </row>
    <row r="1173" spans="1:11" s="2333" customFormat="1" ht="15" customHeight="1">
      <c r="A1173" s="3131"/>
      <c r="B1173" s="3134"/>
      <c r="C1173" s="3137"/>
      <c r="D1173" s="3140"/>
      <c r="E1173" s="2338" t="s">
        <v>541</v>
      </c>
      <c r="F1173" s="2339">
        <f t="shared" si="130"/>
        <v>9117</v>
      </c>
      <c r="G1173" s="2339"/>
      <c r="H1173" s="2339"/>
      <c r="I1173" s="2339">
        <v>9117</v>
      </c>
      <c r="J1173" s="2340"/>
    </row>
    <row r="1174" spans="1:11" s="2333" customFormat="1" ht="15" customHeight="1">
      <c r="A1174" s="3131"/>
      <c r="B1174" s="3134"/>
      <c r="C1174" s="3137"/>
      <c r="D1174" s="3140"/>
      <c r="E1174" s="2338" t="s">
        <v>597</v>
      </c>
      <c r="F1174" s="2339">
        <f t="shared" si="130"/>
        <v>3537</v>
      </c>
      <c r="G1174" s="2339"/>
      <c r="H1174" s="2339">
        <v>3537</v>
      </c>
      <c r="I1174" s="2339"/>
      <c r="J1174" s="2340"/>
      <c r="K1174" s="2334"/>
    </row>
    <row r="1175" spans="1:11" s="2333" customFormat="1" ht="15" customHeight="1">
      <c r="A1175" s="3131"/>
      <c r="B1175" s="3134"/>
      <c r="C1175" s="3137"/>
      <c r="D1175" s="3140"/>
      <c r="E1175" s="2338" t="s">
        <v>543</v>
      </c>
      <c r="F1175" s="2339">
        <f t="shared" si="130"/>
        <v>660</v>
      </c>
      <c r="G1175" s="2339"/>
      <c r="H1175" s="2339"/>
      <c r="I1175" s="2339">
        <v>660</v>
      </c>
      <c r="J1175" s="2340"/>
    </row>
    <row r="1176" spans="1:11" s="2333" customFormat="1" ht="15" customHeight="1">
      <c r="A1176" s="3131"/>
      <c r="B1176" s="3134"/>
      <c r="C1176" s="3137"/>
      <c r="D1176" s="3140"/>
      <c r="E1176" s="2338" t="s">
        <v>598</v>
      </c>
      <c r="F1176" s="2339">
        <f t="shared" si="130"/>
        <v>8874</v>
      </c>
      <c r="G1176" s="2339"/>
      <c r="H1176" s="2339">
        <v>8874</v>
      </c>
      <c r="I1176" s="2339"/>
      <c r="J1176" s="2340"/>
    </row>
    <row r="1177" spans="1:11" s="2333" customFormat="1" ht="15" customHeight="1">
      <c r="A1177" s="3131"/>
      <c r="B1177" s="3134"/>
      <c r="C1177" s="3137"/>
      <c r="D1177" s="3140"/>
      <c r="E1177" s="2338" t="s">
        <v>545</v>
      </c>
      <c r="F1177" s="2339">
        <f t="shared" si="130"/>
        <v>1655</v>
      </c>
      <c r="G1177" s="2339"/>
      <c r="H1177" s="2339"/>
      <c r="I1177" s="2339">
        <v>1655</v>
      </c>
      <c r="J1177" s="2340"/>
    </row>
    <row r="1178" spans="1:11" s="2333" customFormat="1" ht="15" customHeight="1">
      <c r="A1178" s="3131"/>
      <c r="B1178" s="3134"/>
      <c r="C1178" s="3137"/>
      <c r="D1178" s="3140"/>
      <c r="E1178" s="2338" t="s">
        <v>599</v>
      </c>
      <c r="F1178" s="2339">
        <f t="shared" si="130"/>
        <v>1284</v>
      </c>
      <c r="G1178" s="2339"/>
      <c r="H1178" s="2339">
        <v>1284</v>
      </c>
      <c r="I1178" s="2339"/>
      <c r="J1178" s="2340"/>
    </row>
    <row r="1179" spans="1:11" s="2333" customFormat="1" ht="15" customHeight="1">
      <c r="A1179" s="3131"/>
      <c r="B1179" s="3134"/>
      <c r="C1179" s="3137"/>
      <c r="D1179" s="3140"/>
      <c r="E1179" s="2338" t="s">
        <v>547</v>
      </c>
      <c r="F1179" s="2339">
        <f t="shared" si="130"/>
        <v>240</v>
      </c>
      <c r="G1179" s="2339"/>
      <c r="H1179" s="2339"/>
      <c r="I1179" s="2339">
        <v>240</v>
      </c>
      <c r="J1179" s="2340"/>
    </row>
    <row r="1180" spans="1:11" s="2333" customFormat="1" ht="22.5">
      <c r="A1180" s="3131"/>
      <c r="B1180" s="3134"/>
      <c r="C1180" s="3137"/>
      <c r="D1180" s="3140"/>
      <c r="E1180" s="2347" t="s">
        <v>1137</v>
      </c>
      <c r="F1180" s="2348">
        <f>SUM(F1181:F1186)</f>
        <v>2800</v>
      </c>
      <c r="G1180" s="2348">
        <f>SUM(G1181:G1186)</f>
        <v>0</v>
      </c>
      <c r="H1180" s="2348">
        <f>SUM(H1181:H1186)</f>
        <v>2360</v>
      </c>
      <c r="I1180" s="2348">
        <f>SUM(I1181:I1186)</f>
        <v>440</v>
      </c>
      <c r="J1180" s="2349">
        <f>SUM(J1181:J1186)</f>
        <v>0</v>
      </c>
    </row>
    <row r="1181" spans="1:11" s="2333" customFormat="1" ht="15" customHeight="1">
      <c r="A1181" s="3131"/>
      <c r="B1181" s="3134"/>
      <c r="C1181" s="3137"/>
      <c r="D1181" s="3140"/>
      <c r="E1181" s="2338" t="s">
        <v>844</v>
      </c>
      <c r="F1181" s="2339">
        <f t="shared" ref="F1181:F1186" si="131">SUM(G1181:J1181)</f>
        <v>85</v>
      </c>
      <c r="G1181" s="2339"/>
      <c r="H1181" s="2339">
        <v>85</v>
      </c>
      <c r="I1181" s="2339"/>
      <c r="J1181" s="2340"/>
    </row>
    <row r="1182" spans="1:11" s="2333" customFormat="1" ht="15" customHeight="1">
      <c r="A1182" s="3131"/>
      <c r="B1182" s="3134"/>
      <c r="C1182" s="3137"/>
      <c r="D1182" s="3140"/>
      <c r="E1182" s="2338" t="s">
        <v>695</v>
      </c>
      <c r="F1182" s="2339">
        <f t="shared" si="131"/>
        <v>15</v>
      </c>
      <c r="G1182" s="2339"/>
      <c r="H1182" s="2339"/>
      <c r="I1182" s="2339">
        <v>15</v>
      </c>
      <c r="J1182" s="2340"/>
    </row>
    <row r="1183" spans="1:11" s="2333" customFormat="1" ht="15" customHeight="1">
      <c r="A1183" s="3131"/>
      <c r="B1183" s="3134"/>
      <c r="C1183" s="3137"/>
      <c r="D1183" s="3140"/>
      <c r="E1183" s="2338" t="s">
        <v>602</v>
      </c>
      <c r="F1183" s="2339">
        <f t="shared" si="131"/>
        <v>1238</v>
      </c>
      <c r="G1183" s="2339"/>
      <c r="H1183" s="2339">
        <v>1238</v>
      </c>
      <c r="I1183" s="2339"/>
      <c r="J1183" s="2340"/>
    </row>
    <row r="1184" spans="1:11" s="2333" customFormat="1" ht="15" customHeight="1">
      <c r="A1184" s="3131"/>
      <c r="B1184" s="3134"/>
      <c r="C1184" s="3137"/>
      <c r="D1184" s="3140"/>
      <c r="E1184" s="2338" t="s">
        <v>562</v>
      </c>
      <c r="F1184" s="2339">
        <f t="shared" si="131"/>
        <v>231</v>
      </c>
      <c r="G1184" s="2339"/>
      <c r="H1184" s="2339"/>
      <c r="I1184" s="2339">
        <v>231</v>
      </c>
      <c r="J1184" s="2340"/>
    </row>
    <row r="1185" spans="1:11" s="2333" customFormat="1" ht="15" customHeight="1">
      <c r="A1185" s="3131"/>
      <c r="B1185" s="3134"/>
      <c r="C1185" s="3137"/>
      <c r="D1185" s="3140"/>
      <c r="E1185" s="2338" t="s">
        <v>846</v>
      </c>
      <c r="F1185" s="2339">
        <f t="shared" si="131"/>
        <v>1037</v>
      </c>
      <c r="G1185" s="2339"/>
      <c r="H1185" s="2339">
        <v>1037</v>
      </c>
      <c r="I1185" s="2339"/>
      <c r="J1185" s="2340"/>
    </row>
    <row r="1186" spans="1:11" s="2333" customFormat="1" ht="15" customHeight="1">
      <c r="A1186" s="3131"/>
      <c r="B1186" s="3134"/>
      <c r="C1186" s="3137"/>
      <c r="D1186" s="3140"/>
      <c r="E1186" s="2338" t="s">
        <v>847</v>
      </c>
      <c r="F1186" s="2339">
        <f t="shared" si="131"/>
        <v>194</v>
      </c>
      <c r="G1186" s="2339"/>
      <c r="H1186" s="2339"/>
      <c r="I1186" s="2339">
        <v>194</v>
      </c>
      <c r="J1186" s="2340"/>
    </row>
    <row r="1187" spans="1:11" s="2387" customFormat="1" ht="15" customHeight="1">
      <c r="A1187" s="3132"/>
      <c r="B1187" s="3135"/>
      <c r="C1187" s="3138"/>
      <c r="D1187" s="3141"/>
      <c r="E1187" s="2341" t="s">
        <v>1130</v>
      </c>
      <c r="F1187" s="2336">
        <f>SUM(F1188:F1189)</f>
        <v>0</v>
      </c>
      <c r="G1187" s="2336">
        <f>SUM(G1188:G1189)</f>
        <v>0</v>
      </c>
      <c r="H1187" s="2336">
        <f>SUM(H1188:H1189)</f>
        <v>0</v>
      </c>
      <c r="I1187" s="2336">
        <f>SUM(I1188:I1189)</f>
        <v>0</v>
      </c>
      <c r="J1187" s="2337">
        <f>SUM(J1188:J1189)</f>
        <v>0</v>
      </c>
    </row>
    <row r="1188" spans="1:11" s="2387" customFormat="1" ht="15" hidden="1" customHeight="1">
      <c r="A1188" s="2350"/>
      <c r="B1188" s="2351"/>
      <c r="C1188" s="2352"/>
      <c r="D1188" s="2353"/>
      <c r="E1188" s="2354"/>
      <c r="F1188" s="2355">
        <f>SUM(G1188:J1188)</f>
        <v>0</v>
      </c>
      <c r="G1188" s="2355"/>
      <c r="H1188" s="2355"/>
      <c r="I1188" s="2355"/>
      <c r="J1188" s="2356"/>
    </row>
    <row r="1189" spans="1:11" s="2329" customFormat="1" ht="15" hidden="1" customHeight="1">
      <c r="A1189" s="2350"/>
      <c r="B1189" s="2351"/>
      <c r="C1189" s="2352"/>
      <c r="D1189" s="2353"/>
      <c r="E1189" s="2368"/>
      <c r="F1189" s="2355">
        <f>SUM(G1189:J1189)</f>
        <v>0</v>
      </c>
      <c r="G1189" s="2355"/>
      <c r="H1189" s="2355"/>
      <c r="I1189" s="2355"/>
      <c r="J1189" s="2356"/>
    </row>
    <row r="1190" spans="1:11" s="2333" customFormat="1" ht="22.5">
      <c r="A1190" s="3130" t="s">
        <v>1140</v>
      </c>
      <c r="B1190" s="3133" t="s">
        <v>1240</v>
      </c>
      <c r="C1190" s="3136">
        <v>852</v>
      </c>
      <c r="D1190" s="3139" t="s">
        <v>841</v>
      </c>
      <c r="E1190" s="2330" t="s">
        <v>1129</v>
      </c>
      <c r="F1190" s="2331">
        <f>SUM(F1191,F1231)</f>
        <v>5000017</v>
      </c>
      <c r="G1190" s="2331">
        <f>SUM(G1191,G1231)</f>
        <v>0</v>
      </c>
      <c r="H1190" s="2331">
        <f>SUM(H1191,H1231)</f>
        <v>4214013</v>
      </c>
      <c r="I1190" s="2331">
        <f>SUM(I1191,I1231)</f>
        <v>786004</v>
      </c>
      <c r="J1190" s="2332">
        <f>SUM(J1191,J1231)</f>
        <v>0</v>
      </c>
    </row>
    <row r="1191" spans="1:11" s="2333" customFormat="1" ht="21">
      <c r="A1191" s="3131"/>
      <c r="B1191" s="3134"/>
      <c r="C1191" s="3137"/>
      <c r="D1191" s="3140"/>
      <c r="E1191" s="2335" t="s">
        <v>1135</v>
      </c>
      <c r="F1191" s="2336">
        <f>SUM(F1192,F1195,F1206)</f>
        <v>5000017</v>
      </c>
      <c r="G1191" s="2336">
        <f>SUM(G1192,G1195,G1206)</f>
        <v>0</v>
      </c>
      <c r="H1191" s="2336">
        <f>SUM(H1192,H1195,H1206)</f>
        <v>4214013</v>
      </c>
      <c r="I1191" s="2336">
        <f>SUM(I1192,I1195,I1206)</f>
        <v>786004</v>
      </c>
      <c r="J1191" s="2337">
        <f>SUM(J1192,J1195,J1206)</f>
        <v>0</v>
      </c>
    </row>
    <row r="1192" spans="1:11" s="2333" customFormat="1" ht="15" customHeight="1">
      <c r="A1192" s="3131"/>
      <c r="B1192" s="3134"/>
      <c r="C1192" s="3137"/>
      <c r="D1192" s="3140"/>
      <c r="E1192" s="2347" t="s">
        <v>1150</v>
      </c>
      <c r="F1192" s="2348">
        <f>SUM(F1193:F1194)</f>
        <v>3682801</v>
      </c>
      <c r="G1192" s="2348">
        <f t="shared" ref="G1192:J1192" si="132">SUM(G1193:G1194)</f>
        <v>0</v>
      </c>
      <c r="H1192" s="2348">
        <f>SUM(H1193:H1194)</f>
        <v>3103864</v>
      </c>
      <c r="I1192" s="2348">
        <f t="shared" si="132"/>
        <v>578937</v>
      </c>
      <c r="J1192" s="2349">
        <f t="shared" si="132"/>
        <v>0</v>
      </c>
    </row>
    <row r="1193" spans="1:11" s="2333" customFormat="1" ht="15" customHeight="1">
      <c r="A1193" s="3131"/>
      <c r="B1193" s="3134"/>
      <c r="C1193" s="3137"/>
      <c r="D1193" s="3140"/>
      <c r="E1193" s="2338" t="s">
        <v>381</v>
      </c>
      <c r="F1193" s="2339">
        <f>SUM(G1193:J1193)</f>
        <v>3103864</v>
      </c>
      <c r="G1193" s="2339"/>
      <c r="H1193" s="2339">
        <v>3103864</v>
      </c>
      <c r="I1193" s="2339"/>
      <c r="J1193" s="2340"/>
    </row>
    <row r="1194" spans="1:11" s="2333" customFormat="1" ht="15" customHeight="1">
      <c r="A1194" s="3131"/>
      <c r="B1194" s="3134"/>
      <c r="C1194" s="3137"/>
      <c r="D1194" s="3140"/>
      <c r="E1194" s="2338" t="s">
        <v>303</v>
      </c>
      <c r="F1194" s="2339">
        <f>SUM(G1194:J1194)</f>
        <v>578937</v>
      </c>
      <c r="G1194" s="2339"/>
      <c r="H1194" s="2339"/>
      <c r="I1194" s="2339">
        <v>578937</v>
      </c>
      <c r="J1194" s="2340"/>
    </row>
    <row r="1195" spans="1:11" s="2333" customFormat="1" ht="22.5">
      <c r="A1195" s="3131"/>
      <c r="B1195" s="3134"/>
      <c r="C1195" s="3137"/>
      <c r="D1195" s="3140"/>
      <c r="E1195" s="2347" t="s">
        <v>1136</v>
      </c>
      <c r="F1195" s="2348">
        <f>SUM(F1196:F1205)</f>
        <v>782415</v>
      </c>
      <c r="G1195" s="2348">
        <f>SUM(G1196:G1205)</f>
        <v>0</v>
      </c>
      <c r="H1195" s="2348">
        <f>SUM(H1196:H1205)</f>
        <v>659421</v>
      </c>
      <c r="I1195" s="2348">
        <f>SUM(I1196:I1205)</f>
        <v>122994</v>
      </c>
      <c r="J1195" s="2349">
        <f>SUM(J1196:J1205)</f>
        <v>0</v>
      </c>
    </row>
    <row r="1196" spans="1:11" s="2333" customFormat="1" ht="14.1" customHeight="1">
      <c r="A1196" s="3131"/>
      <c r="B1196" s="3134"/>
      <c r="C1196" s="3137"/>
      <c r="D1196" s="3140"/>
      <c r="E1196" s="2338" t="s">
        <v>596</v>
      </c>
      <c r="F1196" s="2339">
        <f t="shared" ref="F1196:F1205" si="133">SUM(G1196:J1196)</f>
        <v>270079</v>
      </c>
      <c r="G1196" s="2339"/>
      <c r="H1196" s="2339">
        <v>270079</v>
      </c>
      <c r="I1196" s="2339"/>
      <c r="J1196" s="2340"/>
    </row>
    <row r="1197" spans="1:11" s="2333" customFormat="1" ht="14.1" customHeight="1">
      <c r="A1197" s="3131"/>
      <c r="B1197" s="3134"/>
      <c r="C1197" s="3137"/>
      <c r="D1197" s="3140"/>
      <c r="E1197" s="2338" t="s">
        <v>541</v>
      </c>
      <c r="F1197" s="2339">
        <f t="shared" si="133"/>
        <v>50375</v>
      </c>
      <c r="G1197" s="2339"/>
      <c r="H1197" s="2339"/>
      <c r="I1197" s="2339">
        <v>50375</v>
      </c>
      <c r="J1197" s="2340"/>
    </row>
    <row r="1198" spans="1:11" s="2333" customFormat="1" ht="14.1" customHeight="1">
      <c r="A1198" s="3131"/>
      <c r="B1198" s="3134"/>
      <c r="C1198" s="3137"/>
      <c r="D1198" s="3140"/>
      <c r="E1198" s="2338" t="s">
        <v>597</v>
      </c>
      <c r="F1198" s="2339">
        <f t="shared" si="133"/>
        <v>18396</v>
      </c>
      <c r="G1198" s="2339"/>
      <c r="H1198" s="2339">
        <v>18396</v>
      </c>
      <c r="I1198" s="2339"/>
      <c r="J1198" s="2340"/>
    </row>
    <row r="1199" spans="1:11" s="2333" customFormat="1" ht="14.1" customHeight="1">
      <c r="A1199" s="3131"/>
      <c r="B1199" s="3134"/>
      <c r="C1199" s="3137"/>
      <c r="D1199" s="3140"/>
      <c r="E1199" s="2338" t="s">
        <v>543</v>
      </c>
      <c r="F1199" s="2339">
        <f t="shared" si="133"/>
        <v>3431</v>
      </c>
      <c r="G1199" s="2339"/>
      <c r="H1199" s="2339"/>
      <c r="I1199" s="2339">
        <v>3431</v>
      </c>
      <c r="J1199" s="2340"/>
    </row>
    <row r="1200" spans="1:11" s="2333" customFormat="1" ht="14.1" customHeight="1">
      <c r="A1200" s="3131"/>
      <c r="B1200" s="3134"/>
      <c r="C1200" s="3137"/>
      <c r="D1200" s="3140"/>
      <c r="E1200" s="2338" t="s">
        <v>598</v>
      </c>
      <c r="F1200" s="2339">
        <f t="shared" si="133"/>
        <v>48839</v>
      </c>
      <c r="G1200" s="2339"/>
      <c r="H1200" s="2339">
        <v>48839</v>
      </c>
      <c r="I1200" s="2339"/>
      <c r="J1200" s="2340"/>
      <c r="K1200" s="2334"/>
    </row>
    <row r="1201" spans="1:10" s="2333" customFormat="1" ht="14.1" customHeight="1">
      <c r="A1201" s="3131"/>
      <c r="B1201" s="3134"/>
      <c r="C1201" s="3137"/>
      <c r="D1201" s="3140"/>
      <c r="E1201" s="2338" t="s">
        <v>545</v>
      </c>
      <c r="F1201" s="2339">
        <f t="shared" si="133"/>
        <v>9109</v>
      </c>
      <c r="G1201" s="2339"/>
      <c r="H1201" s="2339"/>
      <c r="I1201" s="2339">
        <v>9109</v>
      </c>
      <c r="J1201" s="2340"/>
    </row>
    <row r="1202" spans="1:10" s="2333" customFormat="1" ht="14.1" customHeight="1">
      <c r="A1202" s="3131"/>
      <c r="B1202" s="3134"/>
      <c r="C1202" s="3137"/>
      <c r="D1202" s="3140"/>
      <c r="E1202" s="2338" t="s">
        <v>599</v>
      </c>
      <c r="F1202" s="2339">
        <f t="shared" si="133"/>
        <v>7068</v>
      </c>
      <c r="G1202" s="2339"/>
      <c r="H1202" s="2339">
        <v>7068</v>
      </c>
      <c r="I1202" s="2339"/>
      <c r="J1202" s="2340"/>
    </row>
    <row r="1203" spans="1:10" s="2333" customFormat="1" ht="14.1" customHeight="1">
      <c r="A1203" s="3131"/>
      <c r="B1203" s="3134"/>
      <c r="C1203" s="3137"/>
      <c r="D1203" s="3140"/>
      <c r="E1203" s="2338" t="s">
        <v>547</v>
      </c>
      <c r="F1203" s="2339">
        <f t="shared" si="133"/>
        <v>1318</v>
      </c>
      <c r="G1203" s="2339"/>
      <c r="H1203" s="2339"/>
      <c r="I1203" s="2339">
        <v>1318</v>
      </c>
      <c r="J1203" s="2340"/>
    </row>
    <row r="1204" spans="1:10" s="2333" customFormat="1" ht="14.1" customHeight="1">
      <c r="A1204" s="3131"/>
      <c r="B1204" s="3134"/>
      <c r="C1204" s="3137"/>
      <c r="D1204" s="3140"/>
      <c r="E1204" s="2338" t="s">
        <v>673</v>
      </c>
      <c r="F1204" s="2339">
        <f t="shared" si="133"/>
        <v>315039</v>
      </c>
      <c r="G1204" s="2339"/>
      <c r="H1204" s="2339">
        <v>315039</v>
      </c>
      <c r="I1204" s="2339"/>
      <c r="J1204" s="2340"/>
    </row>
    <row r="1205" spans="1:10" s="2333" customFormat="1" ht="14.1" customHeight="1">
      <c r="A1205" s="3131"/>
      <c r="B1205" s="3134"/>
      <c r="C1205" s="3137"/>
      <c r="D1205" s="3140"/>
      <c r="E1205" s="2338" t="s">
        <v>549</v>
      </c>
      <c r="F1205" s="2339">
        <f t="shared" si="133"/>
        <v>58761</v>
      </c>
      <c r="G1205" s="2339"/>
      <c r="H1205" s="2339"/>
      <c r="I1205" s="2339">
        <v>58761</v>
      </c>
      <c r="J1205" s="2340"/>
    </row>
    <row r="1206" spans="1:10" s="2333" customFormat="1" ht="22.5">
      <c r="A1206" s="3131"/>
      <c r="B1206" s="3134"/>
      <c r="C1206" s="3137"/>
      <c r="D1206" s="3140"/>
      <c r="E1206" s="2347" t="s">
        <v>1137</v>
      </c>
      <c r="F1206" s="2348">
        <f>SUM(F1207:F1230)</f>
        <v>534801</v>
      </c>
      <c r="G1206" s="2348">
        <f>SUM(G1207:G1230)</f>
        <v>0</v>
      </c>
      <c r="H1206" s="2348">
        <f>SUM(H1207:H1230)</f>
        <v>450728</v>
      </c>
      <c r="I1206" s="2348">
        <f>SUM(I1207:I1230)</f>
        <v>84073</v>
      </c>
      <c r="J1206" s="2349">
        <f>SUM(J1207:J1230)</f>
        <v>0</v>
      </c>
    </row>
    <row r="1207" spans="1:10" s="2333" customFormat="1" ht="14.1" customHeight="1">
      <c r="A1207" s="3131"/>
      <c r="B1207" s="3134"/>
      <c r="C1207" s="3137"/>
      <c r="D1207" s="3140"/>
      <c r="E1207" s="2338" t="s">
        <v>600</v>
      </c>
      <c r="F1207" s="2339">
        <f t="shared" ref="F1207:F1230" si="134">SUM(G1207:J1207)</f>
        <v>8428</v>
      </c>
      <c r="G1207" s="2339"/>
      <c r="H1207" s="2339">
        <v>8428</v>
      </c>
      <c r="I1207" s="2339"/>
      <c r="J1207" s="2340"/>
    </row>
    <row r="1208" spans="1:10" s="2333" customFormat="1" ht="14.1" customHeight="1">
      <c r="A1208" s="3131"/>
      <c r="B1208" s="3134"/>
      <c r="C1208" s="3137"/>
      <c r="D1208" s="3140"/>
      <c r="E1208" s="2338" t="s">
        <v>554</v>
      </c>
      <c r="F1208" s="2339">
        <f t="shared" si="134"/>
        <v>1572</v>
      </c>
      <c r="G1208" s="2339"/>
      <c r="H1208" s="2339"/>
      <c r="I1208" s="2339">
        <v>1572</v>
      </c>
      <c r="J1208" s="2340"/>
    </row>
    <row r="1209" spans="1:10" s="2333" customFormat="1" ht="14.1" customHeight="1">
      <c r="A1209" s="3131"/>
      <c r="B1209" s="3134"/>
      <c r="C1209" s="3137"/>
      <c r="D1209" s="3140"/>
      <c r="E1209" s="2338" t="s">
        <v>785</v>
      </c>
      <c r="F1209" s="2339">
        <f t="shared" si="134"/>
        <v>1517</v>
      </c>
      <c r="G1209" s="2339"/>
      <c r="H1209" s="2339">
        <v>1517</v>
      </c>
      <c r="I1209" s="2339"/>
      <c r="J1209" s="2340"/>
    </row>
    <row r="1210" spans="1:10" s="2333" customFormat="1" ht="14.1" customHeight="1">
      <c r="A1210" s="3131"/>
      <c r="B1210" s="3134"/>
      <c r="C1210" s="3137"/>
      <c r="D1210" s="3140"/>
      <c r="E1210" s="2338" t="s">
        <v>718</v>
      </c>
      <c r="F1210" s="2339">
        <f t="shared" si="134"/>
        <v>283</v>
      </c>
      <c r="G1210" s="2339"/>
      <c r="H1210" s="2339"/>
      <c r="I1210" s="2339">
        <v>283</v>
      </c>
      <c r="J1210" s="2340"/>
    </row>
    <row r="1211" spans="1:10" s="2333" customFormat="1" ht="14.1" customHeight="1">
      <c r="A1211" s="3131"/>
      <c r="B1211" s="3134"/>
      <c r="C1211" s="3137"/>
      <c r="D1211" s="3140"/>
      <c r="E1211" s="2338" t="s">
        <v>786</v>
      </c>
      <c r="F1211" s="2339">
        <f t="shared" si="134"/>
        <v>2950</v>
      </c>
      <c r="G1211" s="2339"/>
      <c r="H1211" s="2339">
        <v>2950</v>
      </c>
      <c r="I1211" s="2339"/>
      <c r="J1211" s="2340"/>
    </row>
    <row r="1212" spans="1:10" s="2333" customFormat="1" ht="14.1" customHeight="1">
      <c r="A1212" s="3131"/>
      <c r="B1212" s="3134"/>
      <c r="C1212" s="3137"/>
      <c r="D1212" s="3140"/>
      <c r="E1212" s="2338" t="s">
        <v>693</v>
      </c>
      <c r="F1212" s="2339">
        <f t="shared" si="134"/>
        <v>550</v>
      </c>
      <c r="G1212" s="2339"/>
      <c r="H1212" s="2339"/>
      <c r="I1212" s="2339">
        <v>550</v>
      </c>
      <c r="J1212" s="2340"/>
    </row>
    <row r="1213" spans="1:10" s="2333" customFormat="1" ht="14.1" customHeight="1">
      <c r="A1213" s="3131"/>
      <c r="B1213" s="3134"/>
      <c r="C1213" s="3137"/>
      <c r="D1213" s="3140"/>
      <c r="E1213" s="2338" t="s">
        <v>844</v>
      </c>
      <c r="F1213" s="2339">
        <f t="shared" si="134"/>
        <v>1517</v>
      </c>
      <c r="G1213" s="2339"/>
      <c r="H1213" s="2339">
        <v>1517</v>
      </c>
      <c r="I1213" s="2339"/>
      <c r="J1213" s="2340"/>
    </row>
    <row r="1214" spans="1:10" s="2333" customFormat="1" ht="14.1" customHeight="1">
      <c r="A1214" s="3131"/>
      <c r="B1214" s="3134"/>
      <c r="C1214" s="3137"/>
      <c r="D1214" s="3140"/>
      <c r="E1214" s="2338" t="s">
        <v>695</v>
      </c>
      <c r="F1214" s="2339">
        <f t="shared" si="134"/>
        <v>283</v>
      </c>
      <c r="G1214" s="2339"/>
      <c r="H1214" s="2339"/>
      <c r="I1214" s="2339">
        <v>283</v>
      </c>
      <c r="J1214" s="2340"/>
    </row>
    <row r="1215" spans="1:10" s="2333" customFormat="1" ht="14.1" customHeight="1">
      <c r="A1215" s="3131"/>
      <c r="B1215" s="3134"/>
      <c r="C1215" s="3137"/>
      <c r="D1215" s="3140"/>
      <c r="E1215" s="2338" t="s">
        <v>601</v>
      </c>
      <c r="F1215" s="2339">
        <f t="shared" si="134"/>
        <v>385422</v>
      </c>
      <c r="G1215" s="2339"/>
      <c r="H1215" s="2339">
        <v>385422</v>
      </c>
      <c r="I1215" s="2339"/>
      <c r="J1215" s="2340"/>
    </row>
    <row r="1216" spans="1:10" s="2333" customFormat="1" ht="14.1" customHeight="1">
      <c r="A1216" s="3131"/>
      <c r="B1216" s="3134"/>
      <c r="C1216" s="3137"/>
      <c r="D1216" s="3140"/>
      <c r="E1216" s="2338" t="s">
        <v>558</v>
      </c>
      <c r="F1216" s="2339">
        <f t="shared" si="134"/>
        <v>71892</v>
      </c>
      <c r="G1216" s="2339"/>
      <c r="H1216" s="2339"/>
      <c r="I1216" s="2339">
        <v>71892</v>
      </c>
      <c r="J1216" s="2340"/>
    </row>
    <row r="1217" spans="1:10" s="2333" customFormat="1" ht="14.1" customHeight="1">
      <c r="A1217" s="3131"/>
      <c r="B1217" s="3134"/>
      <c r="C1217" s="3137"/>
      <c r="D1217" s="3140"/>
      <c r="E1217" s="2338" t="s">
        <v>790</v>
      </c>
      <c r="F1217" s="2339">
        <f t="shared" si="134"/>
        <v>2528</v>
      </c>
      <c r="G1217" s="2339"/>
      <c r="H1217" s="2339">
        <v>2528</v>
      </c>
      <c r="I1217" s="2339"/>
      <c r="J1217" s="2340"/>
    </row>
    <row r="1218" spans="1:10" s="2333" customFormat="1" ht="14.1" customHeight="1">
      <c r="A1218" s="3131"/>
      <c r="B1218" s="3134"/>
      <c r="C1218" s="3137"/>
      <c r="D1218" s="3140"/>
      <c r="E1218" s="2338" t="s">
        <v>719</v>
      </c>
      <c r="F1218" s="2339">
        <f t="shared" si="134"/>
        <v>472</v>
      </c>
      <c r="G1218" s="2339"/>
      <c r="H1218" s="2339"/>
      <c r="I1218" s="2339">
        <v>472</v>
      </c>
      <c r="J1218" s="2340"/>
    </row>
    <row r="1219" spans="1:10" s="2333" customFormat="1" ht="14.1" customHeight="1">
      <c r="A1219" s="3131"/>
      <c r="B1219" s="3134"/>
      <c r="C1219" s="3137"/>
      <c r="D1219" s="3140"/>
      <c r="E1219" s="2338" t="s">
        <v>676</v>
      </c>
      <c r="F1219" s="2339">
        <f t="shared" si="134"/>
        <v>28824</v>
      </c>
      <c r="G1219" s="2339"/>
      <c r="H1219" s="2339">
        <v>28824</v>
      </c>
      <c r="I1219" s="2339"/>
      <c r="J1219" s="2340"/>
    </row>
    <row r="1220" spans="1:10" s="2333" customFormat="1" ht="14.1" customHeight="1">
      <c r="A1220" s="3131"/>
      <c r="B1220" s="3134"/>
      <c r="C1220" s="3137"/>
      <c r="D1220" s="3140"/>
      <c r="E1220" s="2338" t="s">
        <v>560</v>
      </c>
      <c r="F1220" s="2339">
        <f t="shared" si="134"/>
        <v>5376</v>
      </c>
      <c r="G1220" s="2339"/>
      <c r="H1220" s="2339"/>
      <c r="I1220" s="2339">
        <v>5376</v>
      </c>
      <c r="J1220" s="2340"/>
    </row>
    <row r="1221" spans="1:10" s="2333" customFormat="1" ht="14.1" customHeight="1">
      <c r="A1221" s="3131"/>
      <c r="B1221" s="3134"/>
      <c r="C1221" s="3137"/>
      <c r="D1221" s="3140"/>
      <c r="E1221" s="2338" t="s">
        <v>602</v>
      </c>
      <c r="F1221" s="2339">
        <f t="shared" si="134"/>
        <v>11125</v>
      </c>
      <c r="G1221" s="2339"/>
      <c r="H1221" s="2339">
        <v>11125</v>
      </c>
      <c r="I1221" s="2339"/>
      <c r="J1221" s="2340"/>
    </row>
    <row r="1222" spans="1:10" s="2333" customFormat="1" ht="14.1" customHeight="1">
      <c r="A1222" s="3131"/>
      <c r="B1222" s="3134"/>
      <c r="C1222" s="3137"/>
      <c r="D1222" s="3140"/>
      <c r="E1222" s="2338" t="s">
        <v>562</v>
      </c>
      <c r="F1222" s="2339">
        <f t="shared" si="134"/>
        <v>2075</v>
      </c>
      <c r="G1222" s="2339"/>
      <c r="H1222" s="2339"/>
      <c r="I1222" s="2339">
        <v>2075</v>
      </c>
      <c r="J1222" s="2340"/>
    </row>
    <row r="1223" spans="1:10" s="2333" customFormat="1" ht="14.1" customHeight="1">
      <c r="A1223" s="3131"/>
      <c r="B1223" s="3134"/>
      <c r="C1223" s="3137"/>
      <c r="D1223" s="3140"/>
      <c r="E1223" s="2338" t="s">
        <v>846</v>
      </c>
      <c r="F1223" s="2339">
        <f t="shared" si="134"/>
        <v>5529</v>
      </c>
      <c r="G1223" s="2339"/>
      <c r="H1223" s="2339">
        <v>5529</v>
      </c>
      <c r="I1223" s="2339"/>
      <c r="J1223" s="2340"/>
    </row>
    <row r="1224" spans="1:10" s="2333" customFormat="1" ht="14.1" customHeight="1">
      <c r="A1224" s="3131"/>
      <c r="B1224" s="3134"/>
      <c r="C1224" s="3137"/>
      <c r="D1224" s="3140"/>
      <c r="E1224" s="2338" t="s">
        <v>847</v>
      </c>
      <c r="F1224" s="2339">
        <f t="shared" si="134"/>
        <v>1031</v>
      </c>
      <c r="G1224" s="2339"/>
      <c r="H1224" s="2339"/>
      <c r="I1224" s="2339">
        <v>1031</v>
      </c>
      <c r="J1224" s="2340"/>
    </row>
    <row r="1225" spans="1:10" s="2333" customFormat="1" ht="14.1" customHeight="1">
      <c r="A1225" s="3131"/>
      <c r="B1225" s="3134"/>
      <c r="C1225" s="3137"/>
      <c r="D1225" s="3140"/>
      <c r="E1225" s="2338" t="s">
        <v>848</v>
      </c>
      <c r="F1225" s="2339">
        <f t="shared" si="134"/>
        <v>843</v>
      </c>
      <c r="G1225" s="2339"/>
      <c r="H1225" s="2339">
        <v>843</v>
      </c>
      <c r="I1225" s="2339"/>
      <c r="J1225" s="2340"/>
    </row>
    <row r="1226" spans="1:10" s="2333" customFormat="1" ht="14.1" customHeight="1">
      <c r="A1226" s="3131"/>
      <c r="B1226" s="3134"/>
      <c r="C1226" s="3137"/>
      <c r="D1226" s="3140"/>
      <c r="E1226" s="2338" t="s">
        <v>849</v>
      </c>
      <c r="F1226" s="2339">
        <f t="shared" si="134"/>
        <v>157</v>
      </c>
      <c r="G1226" s="2339"/>
      <c r="H1226" s="2339"/>
      <c r="I1226" s="2339">
        <v>157</v>
      </c>
      <c r="J1226" s="2340"/>
    </row>
    <row r="1227" spans="1:10" s="2333" customFormat="1" ht="14.1" customHeight="1">
      <c r="A1227" s="3131"/>
      <c r="B1227" s="3134"/>
      <c r="C1227" s="3137"/>
      <c r="D1227" s="3140"/>
      <c r="E1227" s="2338" t="s">
        <v>850</v>
      </c>
      <c r="F1227" s="2339">
        <f t="shared" si="134"/>
        <v>843</v>
      </c>
      <c r="G1227" s="2339"/>
      <c r="H1227" s="2339">
        <v>843</v>
      </c>
      <c r="I1227" s="2339"/>
      <c r="J1227" s="2340"/>
    </row>
    <row r="1228" spans="1:10" s="2333" customFormat="1" ht="14.1" customHeight="1">
      <c r="A1228" s="3131"/>
      <c r="B1228" s="3134"/>
      <c r="C1228" s="3137"/>
      <c r="D1228" s="3140"/>
      <c r="E1228" s="2338" t="s">
        <v>701</v>
      </c>
      <c r="F1228" s="2339">
        <f t="shared" si="134"/>
        <v>157</v>
      </c>
      <c r="G1228" s="2339"/>
      <c r="H1228" s="2339"/>
      <c r="I1228" s="2339">
        <v>157</v>
      </c>
      <c r="J1228" s="2340"/>
    </row>
    <row r="1229" spans="1:10" s="2333" customFormat="1" ht="14.1" customHeight="1">
      <c r="A1229" s="3131"/>
      <c r="B1229" s="3134"/>
      <c r="C1229" s="3137"/>
      <c r="D1229" s="3140"/>
      <c r="E1229" s="2338" t="s">
        <v>603</v>
      </c>
      <c r="F1229" s="2339">
        <f t="shared" si="134"/>
        <v>1202</v>
      </c>
      <c r="G1229" s="2339"/>
      <c r="H1229" s="2339">
        <v>1202</v>
      </c>
      <c r="I1229" s="2339"/>
      <c r="J1229" s="2340"/>
    </row>
    <row r="1230" spans="1:10" s="2333" customFormat="1" ht="14.1" customHeight="1">
      <c r="A1230" s="3131"/>
      <c r="B1230" s="3134"/>
      <c r="C1230" s="3137"/>
      <c r="D1230" s="3140"/>
      <c r="E1230" s="2338" t="s">
        <v>566</v>
      </c>
      <c r="F1230" s="2339">
        <f t="shared" si="134"/>
        <v>225</v>
      </c>
      <c r="G1230" s="2339"/>
      <c r="H1230" s="2339"/>
      <c r="I1230" s="2339">
        <v>225</v>
      </c>
      <c r="J1230" s="2340"/>
    </row>
    <row r="1231" spans="1:10" s="2387" customFormat="1" ht="15" customHeight="1">
      <c r="A1231" s="3132"/>
      <c r="B1231" s="3135"/>
      <c r="C1231" s="3138"/>
      <c r="D1231" s="3141"/>
      <c r="E1231" s="2341" t="s">
        <v>1130</v>
      </c>
      <c r="F1231" s="2336">
        <f>SUM(F1232:F1233)</f>
        <v>0</v>
      </c>
      <c r="G1231" s="2336">
        <f>SUM(G1232:G1233)</f>
        <v>0</v>
      </c>
      <c r="H1231" s="2336">
        <f>SUM(H1232:H1233)</f>
        <v>0</v>
      </c>
      <c r="I1231" s="2336">
        <f>SUM(I1232:I1233)</f>
        <v>0</v>
      </c>
      <c r="J1231" s="2337">
        <f>SUM(J1232:J1233)</f>
        <v>0</v>
      </c>
    </row>
    <row r="1232" spans="1:10" s="2387" customFormat="1" ht="15" hidden="1" customHeight="1">
      <c r="A1232" s="2350"/>
      <c r="B1232" s="2351"/>
      <c r="C1232" s="2352"/>
      <c r="D1232" s="2353"/>
      <c r="E1232" s="2354"/>
      <c r="F1232" s="2355">
        <f>SUM(G1232:J1232)</f>
        <v>0</v>
      </c>
      <c r="G1232" s="2355"/>
      <c r="H1232" s="2355"/>
      <c r="I1232" s="2355"/>
      <c r="J1232" s="2356"/>
    </row>
    <row r="1233" spans="1:12" s="2329" customFormat="1" ht="15" hidden="1" customHeight="1">
      <c r="A1233" s="2350"/>
      <c r="B1233" s="2351"/>
      <c r="C1233" s="2352"/>
      <c r="D1233" s="2353"/>
      <c r="E1233" s="2368"/>
      <c r="F1233" s="2355">
        <f>SUM(G1233:J1233)</f>
        <v>0</v>
      </c>
      <c r="G1233" s="2355"/>
      <c r="H1233" s="2355"/>
      <c r="I1233" s="2355"/>
      <c r="J1233" s="2356"/>
    </row>
    <row r="1234" spans="1:12" s="2333" customFormat="1" ht="22.5">
      <c r="A1234" s="3115" t="s">
        <v>1142</v>
      </c>
      <c r="B1234" s="3116" t="s">
        <v>1241</v>
      </c>
      <c r="C1234" s="3117">
        <v>852</v>
      </c>
      <c r="D1234" s="3118" t="s">
        <v>841</v>
      </c>
      <c r="E1234" s="2330" t="s">
        <v>1129</v>
      </c>
      <c r="F1234" s="2331">
        <f>SUM(F1235,F1254)</f>
        <v>66356</v>
      </c>
      <c r="G1234" s="2331">
        <f>SUM(G1235,G1254)</f>
        <v>66356</v>
      </c>
      <c r="H1234" s="2331">
        <f>SUM(H1235,H1254)</f>
        <v>0</v>
      </c>
      <c r="I1234" s="2331">
        <f>SUM(I1235,I1254)</f>
        <v>0</v>
      </c>
      <c r="J1234" s="2332">
        <f>SUM(J1235,J1254)</f>
        <v>0</v>
      </c>
      <c r="K1234" s="2369"/>
      <c r="L1234" s="2369"/>
    </row>
    <row r="1235" spans="1:12" s="2333" customFormat="1" ht="21">
      <c r="A1235" s="3115"/>
      <c r="B1235" s="3116"/>
      <c r="C1235" s="3117"/>
      <c r="D1235" s="3118"/>
      <c r="E1235" s="2335" t="s">
        <v>1135</v>
      </c>
      <c r="F1235" s="2336">
        <f>SUM(F1236,F1238,F1247)</f>
        <v>66356</v>
      </c>
      <c r="G1235" s="2336">
        <f>SUM(G1236,G1238,G1247)</f>
        <v>66356</v>
      </c>
      <c r="H1235" s="2336">
        <f>SUM(H1236,H1238,H1247)</f>
        <v>0</v>
      </c>
      <c r="I1235" s="2336">
        <f>SUM(I1236,I1238,I1247)</f>
        <v>0</v>
      </c>
      <c r="J1235" s="2337">
        <f>SUM(J1236,J1238,J1247)</f>
        <v>0</v>
      </c>
      <c r="K1235" s="2369"/>
      <c r="L1235" s="2369"/>
    </row>
    <row r="1236" spans="1:12" s="2333" customFormat="1" ht="15" hidden="1" customHeight="1">
      <c r="A1236" s="3115"/>
      <c r="B1236" s="3116"/>
      <c r="C1236" s="3117"/>
      <c r="D1236" s="3118"/>
      <c r="E1236" s="2347" t="s">
        <v>1150</v>
      </c>
      <c r="F1236" s="2348">
        <f>SUM(F1237)</f>
        <v>0</v>
      </c>
      <c r="G1236" s="2348">
        <f t="shared" ref="G1236:J1236" si="135">SUM(G1237)</f>
        <v>0</v>
      </c>
      <c r="H1236" s="2348">
        <f t="shared" si="135"/>
        <v>0</v>
      </c>
      <c r="I1236" s="2348">
        <f t="shared" si="135"/>
        <v>0</v>
      </c>
      <c r="J1236" s="2349">
        <f t="shared" si="135"/>
        <v>0</v>
      </c>
      <c r="K1236" s="2369"/>
      <c r="L1236" s="2369"/>
    </row>
    <row r="1237" spans="1:12" s="2333" customFormat="1" ht="15" hidden="1" customHeight="1">
      <c r="A1237" s="3115"/>
      <c r="B1237" s="3116"/>
      <c r="C1237" s="3117"/>
      <c r="D1237" s="3118"/>
      <c r="E1237" s="2338"/>
      <c r="F1237" s="2339">
        <f>SUM(G1237:J1237)</f>
        <v>0</v>
      </c>
      <c r="G1237" s="2339"/>
      <c r="H1237" s="2339"/>
      <c r="I1237" s="2339"/>
      <c r="J1237" s="2340"/>
      <c r="K1237" s="2369"/>
      <c r="L1237" s="2369"/>
    </row>
    <row r="1238" spans="1:12" s="2333" customFormat="1" ht="22.5">
      <c r="A1238" s="3115"/>
      <c r="B1238" s="3116"/>
      <c r="C1238" s="3117"/>
      <c r="D1238" s="3118"/>
      <c r="E1238" s="2347" t="s">
        <v>1136</v>
      </c>
      <c r="F1238" s="2348">
        <f>SUM(F1239:F1246)</f>
        <v>51169</v>
      </c>
      <c r="G1238" s="2348">
        <f>SUM(G1239:G1246)</f>
        <v>51169</v>
      </c>
      <c r="H1238" s="2348">
        <f>SUM(H1239:H1246)</f>
        <v>0</v>
      </c>
      <c r="I1238" s="2348">
        <f>SUM(I1239:I1246)</f>
        <v>0</v>
      </c>
      <c r="J1238" s="2349">
        <f>SUM(J1239:J1246)</f>
        <v>0</v>
      </c>
      <c r="K1238" s="2369"/>
      <c r="L1238" s="2369"/>
    </row>
    <row r="1239" spans="1:12" s="2333" customFormat="1" ht="15" customHeight="1">
      <c r="A1239" s="3115"/>
      <c r="B1239" s="3116"/>
      <c r="C1239" s="3117"/>
      <c r="D1239" s="3118"/>
      <c r="E1239" s="2338" t="s">
        <v>540</v>
      </c>
      <c r="F1239" s="2339">
        <f t="shared" ref="F1239:F1246" si="136">SUM(G1239:J1239)</f>
        <v>36434</v>
      </c>
      <c r="G1239" s="2339">
        <v>36434</v>
      </c>
      <c r="H1239" s="2339"/>
      <c r="I1239" s="2339"/>
      <c r="J1239" s="2340"/>
      <c r="K1239" s="2370"/>
      <c r="L1239" s="2369"/>
    </row>
    <row r="1240" spans="1:12" s="2333" customFormat="1" ht="15" customHeight="1">
      <c r="A1240" s="3115"/>
      <c r="B1240" s="3116"/>
      <c r="C1240" s="3117"/>
      <c r="D1240" s="3118"/>
      <c r="E1240" s="2338" t="s">
        <v>541</v>
      </c>
      <c r="F1240" s="2339">
        <f t="shared" si="136"/>
        <v>6430</v>
      </c>
      <c r="G1240" s="2339">
        <v>6430</v>
      </c>
      <c r="H1240" s="2339"/>
      <c r="I1240" s="2339"/>
      <c r="J1240" s="2340"/>
      <c r="K1240" s="2370"/>
      <c r="L1240" s="2369"/>
    </row>
    <row r="1241" spans="1:12" s="2333" customFormat="1" ht="15" customHeight="1">
      <c r="A1241" s="3115"/>
      <c r="B1241" s="3116"/>
      <c r="C1241" s="3117"/>
      <c r="D1241" s="3118"/>
      <c r="E1241" s="2338" t="s">
        <v>544</v>
      </c>
      <c r="F1241" s="2339">
        <f t="shared" si="136"/>
        <v>6168</v>
      </c>
      <c r="G1241" s="2339">
        <v>6168</v>
      </c>
      <c r="H1241" s="2339"/>
      <c r="I1241" s="2339"/>
      <c r="J1241" s="2340"/>
      <c r="K1241" s="2371"/>
      <c r="L1241" s="2369"/>
    </row>
    <row r="1242" spans="1:12" s="2333" customFormat="1" ht="15" customHeight="1">
      <c r="A1242" s="3115"/>
      <c r="B1242" s="3116"/>
      <c r="C1242" s="3117"/>
      <c r="D1242" s="3118"/>
      <c r="E1242" s="2338" t="s">
        <v>545</v>
      </c>
      <c r="F1242" s="2339">
        <f t="shared" si="136"/>
        <v>1088</v>
      </c>
      <c r="G1242" s="2339">
        <v>1088</v>
      </c>
      <c r="H1242" s="2339"/>
      <c r="I1242" s="2339"/>
      <c r="J1242" s="2340"/>
      <c r="K1242" s="2369"/>
      <c r="L1242" s="2369"/>
    </row>
    <row r="1243" spans="1:12" s="2333" customFormat="1" ht="15" customHeight="1">
      <c r="A1243" s="3115"/>
      <c r="B1243" s="3116"/>
      <c r="C1243" s="3117"/>
      <c r="D1243" s="3118"/>
      <c r="E1243" s="2338" t="s">
        <v>546</v>
      </c>
      <c r="F1243" s="2339">
        <f t="shared" si="136"/>
        <v>892</v>
      </c>
      <c r="G1243" s="2339">
        <v>892</v>
      </c>
      <c r="H1243" s="2339"/>
      <c r="I1243" s="2339"/>
      <c r="J1243" s="2340"/>
      <c r="K1243" s="2369"/>
      <c r="L1243" s="2369"/>
    </row>
    <row r="1244" spans="1:12" s="2333" customFormat="1" ht="15" customHeight="1">
      <c r="A1244" s="3115"/>
      <c r="B1244" s="3116"/>
      <c r="C1244" s="3117"/>
      <c r="D1244" s="3118"/>
      <c r="E1244" s="2338" t="s">
        <v>547</v>
      </c>
      <c r="F1244" s="2339">
        <f t="shared" si="136"/>
        <v>157</v>
      </c>
      <c r="G1244" s="2339">
        <v>157</v>
      </c>
      <c r="H1244" s="2339"/>
      <c r="I1244" s="2339"/>
      <c r="J1244" s="2340"/>
      <c r="K1244" s="2369"/>
      <c r="L1244" s="2369"/>
    </row>
    <row r="1245" spans="1:12" s="2333" customFormat="1" ht="15" hidden="1" customHeight="1">
      <c r="A1245" s="3115"/>
      <c r="B1245" s="3116"/>
      <c r="C1245" s="3117"/>
      <c r="D1245" s="3118"/>
      <c r="E1245" s="2338"/>
      <c r="F1245" s="2339">
        <f t="shared" si="136"/>
        <v>0</v>
      </c>
      <c r="G1245" s="2339"/>
      <c r="H1245" s="2339"/>
      <c r="I1245" s="2339"/>
      <c r="J1245" s="2340"/>
      <c r="K1245" s="2369"/>
      <c r="L1245" s="2369"/>
    </row>
    <row r="1246" spans="1:12" s="2333" customFormat="1" ht="15" hidden="1" customHeight="1">
      <c r="A1246" s="3115"/>
      <c r="B1246" s="3116"/>
      <c r="C1246" s="3117"/>
      <c r="D1246" s="3118"/>
      <c r="E1246" s="2338"/>
      <c r="F1246" s="2339">
        <f t="shared" si="136"/>
        <v>0</v>
      </c>
      <c r="G1246" s="2339"/>
      <c r="H1246" s="2339"/>
      <c r="I1246" s="2339"/>
      <c r="J1246" s="2340"/>
      <c r="K1246" s="2369"/>
      <c r="L1246" s="2369"/>
    </row>
    <row r="1247" spans="1:12" s="2333" customFormat="1" ht="22.5">
      <c r="A1247" s="3115"/>
      <c r="B1247" s="3116"/>
      <c r="C1247" s="3117"/>
      <c r="D1247" s="3118"/>
      <c r="E1247" s="2347" t="s">
        <v>1137</v>
      </c>
      <c r="F1247" s="2348">
        <f>SUM(F1248:F1253)</f>
        <v>15187</v>
      </c>
      <c r="G1247" s="2348">
        <f>SUM(G1248:G1253)</f>
        <v>15187</v>
      </c>
      <c r="H1247" s="2348">
        <f>SUM(H1248:H1253)</f>
        <v>0</v>
      </c>
      <c r="I1247" s="2348">
        <f>SUM(I1248:I1253)</f>
        <v>0</v>
      </c>
      <c r="J1247" s="2349">
        <f>SUM(J1248:J1253)</f>
        <v>0</v>
      </c>
      <c r="K1247" s="2369"/>
      <c r="L1247" s="2369"/>
    </row>
    <row r="1248" spans="1:12" s="2333" customFormat="1" ht="15" customHeight="1">
      <c r="A1248" s="3115"/>
      <c r="B1248" s="3116"/>
      <c r="C1248" s="3117"/>
      <c r="D1248" s="3118"/>
      <c r="E1248" s="2338" t="s">
        <v>553</v>
      </c>
      <c r="F1248" s="2339">
        <f t="shared" ref="F1248:F1253" si="137">SUM(G1248:J1248)</f>
        <v>444</v>
      </c>
      <c r="G1248" s="2339">
        <v>444</v>
      </c>
      <c r="H1248" s="2339"/>
      <c r="I1248" s="2339"/>
      <c r="J1248" s="2340"/>
      <c r="K1248" s="2369"/>
      <c r="L1248" s="2369"/>
    </row>
    <row r="1249" spans="1:12" s="2333" customFormat="1" ht="15" customHeight="1">
      <c r="A1249" s="3115"/>
      <c r="B1249" s="3116"/>
      <c r="C1249" s="3117"/>
      <c r="D1249" s="3118"/>
      <c r="E1249" s="2338" t="s">
        <v>554</v>
      </c>
      <c r="F1249" s="2339">
        <f t="shared" si="137"/>
        <v>78</v>
      </c>
      <c r="G1249" s="2339">
        <v>78</v>
      </c>
      <c r="H1249" s="2339"/>
      <c r="I1249" s="2339"/>
      <c r="J1249" s="2340"/>
      <c r="K1249" s="2369"/>
      <c r="L1249" s="2369"/>
    </row>
    <row r="1250" spans="1:12" s="2333" customFormat="1" ht="15" customHeight="1">
      <c r="A1250" s="3115"/>
      <c r="B1250" s="3116"/>
      <c r="C1250" s="3117"/>
      <c r="D1250" s="3118"/>
      <c r="E1250" s="2338" t="s">
        <v>557</v>
      </c>
      <c r="F1250" s="2339">
        <f t="shared" si="137"/>
        <v>3910</v>
      </c>
      <c r="G1250" s="2339">
        <v>3910</v>
      </c>
      <c r="H1250" s="2339"/>
      <c r="I1250" s="2339"/>
      <c r="J1250" s="2340"/>
      <c r="K1250" s="2369"/>
      <c r="L1250" s="2369"/>
    </row>
    <row r="1251" spans="1:12" s="2333" customFormat="1" ht="15" customHeight="1">
      <c r="A1251" s="3115"/>
      <c r="B1251" s="3116"/>
      <c r="C1251" s="3117"/>
      <c r="D1251" s="3118"/>
      <c r="E1251" s="2338" t="s">
        <v>558</v>
      </c>
      <c r="F1251" s="2339">
        <f t="shared" si="137"/>
        <v>690</v>
      </c>
      <c r="G1251" s="2339">
        <v>690</v>
      </c>
      <c r="H1251" s="2339"/>
      <c r="I1251" s="2339"/>
      <c r="J1251" s="2340"/>
      <c r="K1251" s="2369"/>
      <c r="L1251" s="2369"/>
    </row>
    <row r="1252" spans="1:12" s="2333" customFormat="1" ht="15" customHeight="1">
      <c r="A1252" s="3115"/>
      <c r="B1252" s="3116"/>
      <c r="C1252" s="3117"/>
      <c r="D1252" s="3118"/>
      <c r="E1252" s="2338" t="s">
        <v>650</v>
      </c>
      <c r="F1252" s="2339">
        <f t="shared" si="137"/>
        <v>8555</v>
      </c>
      <c r="G1252" s="2339">
        <v>8555</v>
      </c>
      <c r="H1252" s="2339"/>
      <c r="I1252" s="2339"/>
      <c r="J1252" s="2340"/>
      <c r="K1252" s="2369"/>
      <c r="L1252" s="2369"/>
    </row>
    <row r="1253" spans="1:12" s="2333" customFormat="1" ht="15" customHeight="1">
      <c r="A1253" s="3115"/>
      <c r="B1253" s="3116"/>
      <c r="C1253" s="3117"/>
      <c r="D1253" s="3118"/>
      <c r="E1253" s="2338" t="s">
        <v>651</v>
      </c>
      <c r="F1253" s="2339">
        <f t="shared" si="137"/>
        <v>1510</v>
      </c>
      <c r="G1253" s="2339">
        <v>1510</v>
      </c>
      <c r="H1253" s="2339"/>
      <c r="I1253" s="2339"/>
      <c r="J1253" s="2340"/>
      <c r="K1253" s="2369"/>
      <c r="L1253" s="2369"/>
    </row>
    <row r="1254" spans="1:12" s="2387" customFormat="1" ht="15" customHeight="1">
      <c r="A1254" s="3115"/>
      <c r="B1254" s="3116"/>
      <c r="C1254" s="3117"/>
      <c r="D1254" s="3118"/>
      <c r="E1254" s="2341" t="s">
        <v>1130</v>
      </c>
      <c r="F1254" s="2336">
        <f>SUM(F1255:F1256)</f>
        <v>0</v>
      </c>
      <c r="G1254" s="2336">
        <f>SUM(G1255:G1256)</f>
        <v>0</v>
      </c>
      <c r="H1254" s="2336">
        <f>SUM(H1255:H1256)</f>
        <v>0</v>
      </c>
      <c r="I1254" s="2336">
        <f>SUM(I1255:I1256)</f>
        <v>0</v>
      </c>
      <c r="J1254" s="2337">
        <f>SUM(J1255:J1256)</f>
        <v>0</v>
      </c>
      <c r="K1254" s="2388"/>
      <c r="L1254" s="2388"/>
    </row>
    <row r="1255" spans="1:12" s="2387" customFormat="1" ht="15" hidden="1" customHeight="1">
      <c r="A1255" s="3115"/>
      <c r="B1255" s="3116"/>
      <c r="C1255" s="3117"/>
      <c r="D1255" s="3118"/>
      <c r="E1255" s="2338"/>
      <c r="F1255" s="2339">
        <f>SUM(G1255:J1255)</f>
        <v>0</v>
      </c>
      <c r="G1255" s="2339"/>
      <c r="H1255" s="2339"/>
      <c r="I1255" s="2339"/>
      <c r="J1255" s="2340"/>
      <c r="K1255" s="2388"/>
      <c r="L1255" s="2388"/>
    </row>
    <row r="1256" spans="1:12" s="2329" customFormat="1" ht="15" hidden="1" customHeight="1">
      <c r="A1256" s="3115"/>
      <c r="B1256" s="3116"/>
      <c r="C1256" s="3117"/>
      <c r="D1256" s="3118"/>
      <c r="E1256" s="2344"/>
      <c r="F1256" s="2339">
        <f>SUM(G1256:J1256)</f>
        <v>0</v>
      </c>
      <c r="G1256" s="2339"/>
      <c r="H1256" s="2339"/>
      <c r="I1256" s="2339"/>
      <c r="J1256" s="2340"/>
      <c r="K1256" s="100"/>
      <c r="L1256" s="100"/>
    </row>
    <row r="1257" spans="1:12" s="100" customFormat="1" ht="30" customHeight="1">
      <c r="A1257" s="2326" t="s">
        <v>1242</v>
      </c>
      <c r="B1257" s="3126" t="s">
        <v>1243</v>
      </c>
      <c r="C1257" s="3126"/>
      <c r="D1257" s="3126"/>
      <c r="E1257" s="3126"/>
      <c r="F1257" s="2380">
        <f>F1287+F1315</f>
        <v>292307</v>
      </c>
      <c r="G1257" s="2380">
        <f t="shared" ref="G1257:J1257" si="138">G1287+G1315</f>
        <v>23434</v>
      </c>
      <c r="H1257" s="2380">
        <f t="shared" si="138"/>
        <v>248044</v>
      </c>
      <c r="I1257" s="2380">
        <f t="shared" si="138"/>
        <v>20829</v>
      </c>
      <c r="J1257" s="2381">
        <f t="shared" si="138"/>
        <v>0</v>
      </c>
    </row>
    <row r="1258" spans="1:12" s="2329" customFormat="1" ht="15" customHeight="1">
      <c r="A1258" s="3127"/>
      <c r="B1258" s="3128"/>
      <c r="C1258" s="3128"/>
      <c r="D1258" s="3128"/>
      <c r="E1258" s="3128"/>
      <c r="F1258" s="3128"/>
      <c r="G1258" s="3128"/>
      <c r="H1258" s="3128"/>
      <c r="I1258" s="3128"/>
      <c r="J1258" s="3129"/>
    </row>
    <row r="1259" spans="1:12" s="2329" customFormat="1" ht="15" hidden="1" customHeight="1">
      <c r="A1259" s="3122"/>
      <c r="B1259" s="3123" t="s">
        <v>1244</v>
      </c>
      <c r="C1259" s="3124">
        <v>801</v>
      </c>
      <c r="D1259" s="3125" t="s">
        <v>782</v>
      </c>
      <c r="E1259" s="2358" t="s">
        <v>1129</v>
      </c>
      <c r="F1259" s="2359">
        <f>SUM(F1260,F1284)</f>
        <v>0</v>
      </c>
      <c r="G1259" s="2359">
        <f>SUM(G1260,G1284)</f>
        <v>0</v>
      </c>
      <c r="H1259" s="2359">
        <f>SUM(H1260,H1284)</f>
        <v>0</v>
      </c>
      <c r="I1259" s="2359">
        <f>SUM(I1260,I1284)</f>
        <v>0</v>
      </c>
      <c r="J1259" s="2360">
        <f>SUM(J1260,J1284)</f>
        <v>0</v>
      </c>
    </row>
    <row r="1260" spans="1:12" s="2329" customFormat="1" ht="15" hidden="1" customHeight="1">
      <c r="A1260" s="3122"/>
      <c r="B1260" s="3123"/>
      <c r="C1260" s="3124"/>
      <c r="D1260" s="3125"/>
      <c r="E1260" s="2361" t="s">
        <v>1135</v>
      </c>
      <c r="F1260" s="2362">
        <f>SUM(F1261,F1264,F1273)</f>
        <v>0</v>
      </c>
      <c r="G1260" s="2362">
        <f>SUM(G1261,G1264,G1273)</f>
        <v>0</v>
      </c>
      <c r="H1260" s="2362">
        <f>SUM(H1261,H1264,H1273)</f>
        <v>0</v>
      </c>
      <c r="I1260" s="2362">
        <f>SUM(I1261,I1264,I1273)</f>
        <v>0</v>
      </c>
      <c r="J1260" s="2363">
        <f>SUM(J1261,J1264,J1273)</f>
        <v>0</v>
      </c>
    </row>
    <row r="1261" spans="1:12" s="2329" customFormat="1" ht="15" hidden="1" customHeight="1">
      <c r="A1261" s="3122"/>
      <c r="B1261" s="3123"/>
      <c r="C1261" s="3124"/>
      <c r="D1261" s="3125"/>
      <c r="E1261" s="2364" t="s">
        <v>1150</v>
      </c>
      <c r="F1261" s="2365">
        <f>SUM(F1262:F1263)</f>
        <v>0</v>
      </c>
      <c r="G1261" s="2365">
        <f>SUM(G1262:G1263)</f>
        <v>0</v>
      </c>
      <c r="H1261" s="2365">
        <f>SUM(H1262:H1263)</f>
        <v>0</v>
      </c>
      <c r="I1261" s="2365">
        <f>SUM(I1262:I1263)</f>
        <v>0</v>
      </c>
      <c r="J1261" s="2366">
        <f>SUM(J1262:J1263)</f>
        <v>0</v>
      </c>
    </row>
    <row r="1262" spans="1:12" s="2329" customFormat="1" ht="15" hidden="1" customHeight="1">
      <c r="A1262" s="3122"/>
      <c r="B1262" s="3123"/>
      <c r="C1262" s="3124"/>
      <c r="D1262" s="3125"/>
      <c r="E1262" s="2389" t="s">
        <v>381</v>
      </c>
      <c r="F1262" s="2355">
        <f>SUM(G1262:J1262)</f>
        <v>0</v>
      </c>
      <c r="G1262" s="2355"/>
      <c r="H1262" s="2355"/>
      <c r="I1262" s="2355"/>
      <c r="J1262" s="2356"/>
    </row>
    <row r="1263" spans="1:12" s="2329" customFormat="1" ht="15" hidden="1" customHeight="1">
      <c r="A1263" s="3122"/>
      <c r="B1263" s="3123"/>
      <c r="C1263" s="3124"/>
      <c r="D1263" s="3125"/>
      <c r="E1263" s="2389" t="s">
        <v>303</v>
      </c>
      <c r="F1263" s="2355">
        <f>SUM(G1263:J1263)</f>
        <v>0</v>
      </c>
      <c r="G1263" s="2355"/>
      <c r="H1263" s="2355"/>
      <c r="I1263" s="2355"/>
      <c r="J1263" s="2356"/>
    </row>
    <row r="1264" spans="1:12" s="2329" customFormat="1" ht="15" hidden="1" customHeight="1">
      <c r="A1264" s="3122"/>
      <c r="B1264" s="3123"/>
      <c r="C1264" s="3124"/>
      <c r="D1264" s="3125"/>
      <c r="E1264" s="2364" t="s">
        <v>1136</v>
      </c>
      <c r="F1264" s="2365">
        <f>SUM(F1265:F1272)</f>
        <v>0</v>
      </c>
      <c r="G1264" s="2365">
        <f>SUM(G1265:G1272)</f>
        <v>0</v>
      </c>
      <c r="H1264" s="2365">
        <f>SUM(H1265:H1272)</f>
        <v>0</v>
      </c>
      <c r="I1264" s="2365">
        <f>SUM(I1265:I1272)</f>
        <v>0</v>
      </c>
      <c r="J1264" s="2366">
        <f>SUM(J1265:J1272)</f>
        <v>0</v>
      </c>
    </row>
    <row r="1265" spans="1:10" s="2329" customFormat="1" ht="15" hidden="1" customHeight="1">
      <c r="A1265" s="3122"/>
      <c r="B1265" s="3123"/>
      <c r="C1265" s="3124"/>
      <c r="D1265" s="3125"/>
      <c r="E1265" s="2354" t="s">
        <v>596</v>
      </c>
      <c r="F1265" s="2355">
        <f t="shared" ref="F1265:F1272" si="139">SUM(G1265:J1265)</f>
        <v>0</v>
      </c>
      <c r="G1265" s="2355"/>
      <c r="H1265" s="2355"/>
      <c r="I1265" s="2355"/>
      <c r="J1265" s="2356"/>
    </row>
    <row r="1266" spans="1:10" s="2329" customFormat="1" ht="15" hidden="1" customHeight="1">
      <c r="A1266" s="3122"/>
      <c r="B1266" s="3123"/>
      <c r="C1266" s="3124"/>
      <c r="D1266" s="3125"/>
      <c r="E1266" s="2354" t="s">
        <v>541</v>
      </c>
      <c r="F1266" s="2355">
        <f t="shared" si="139"/>
        <v>0</v>
      </c>
      <c r="G1266" s="2355"/>
      <c r="H1266" s="2355"/>
      <c r="I1266" s="2355"/>
      <c r="J1266" s="2356"/>
    </row>
    <row r="1267" spans="1:10" s="2329" customFormat="1" ht="15" hidden="1" customHeight="1">
      <c r="A1267" s="3122"/>
      <c r="B1267" s="3123"/>
      <c r="C1267" s="3124"/>
      <c r="D1267" s="3125"/>
      <c r="E1267" s="2354" t="s">
        <v>598</v>
      </c>
      <c r="F1267" s="2355">
        <f t="shared" si="139"/>
        <v>0</v>
      </c>
      <c r="G1267" s="2355"/>
      <c r="H1267" s="2355"/>
      <c r="I1267" s="2355"/>
      <c r="J1267" s="2356"/>
    </row>
    <row r="1268" spans="1:10" s="2329" customFormat="1" ht="15" hidden="1" customHeight="1">
      <c r="A1268" s="3122"/>
      <c r="B1268" s="3123"/>
      <c r="C1268" s="3124"/>
      <c r="D1268" s="3125"/>
      <c r="E1268" s="2354" t="s">
        <v>545</v>
      </c>
      <c r="F1268" s="2355">
        <f t="shared" si="139"/>
        <v>0</v>
      </c>
      <c r="G1268" s="2355"/>
      <c r="H1268" s="2355"/>
      <c r="I1268" s="2355"/>
      <c r="J1268" s="2356"/>
    </row>
    <row r="1269" spans="1:10" s="2329" customFormat="1" ht="15" hidden="1" customHeight="1">
      <c r="A1269" s="3122"/>
      <c r="B1269" s="3123"/>
      <c r="C1269" s="3124"/>
      <c r="D1269" s="3125"/>
      <c r="E1269" s="2354" t="s">
        <v>599</v>
      </c>
      <c r="F1269" s="2355">
        <f t="shared" si="139"/>
        <v>0</v>
      </c>
      <c r="G1269" s="2355"/>
      <c r="H1269" s="2355"/>
      <c r="I1269" s="2355"/>
      <c r="J1269" s="2356"/>
    </row>
    <row r="1270" spans="1:10" s="2329" customFormat="1" ht="15" hidden="1" customHeight="1">
      <c r="A1270" s="3122"/>
      <c r="B1270" s="3123"/>
      <c r="C1270" s="3124"/>
      <c r="D1270" s="3125"/>
      <c r="E1270" s="2354" t="s">
        <v>547</v>
      </c>
      <c r="F1270" s="2355">
        <f t="shared" si="139"/>
        <v>0</v>
      </c>
      <c r="G1270" s="2355"/>
      <c r="H1270" s="2355"/>
      <c r="I1270" s="2355"/>
      <c r="J1270" s="2356"/>
    </row>
    <row r="1271" spans="1:10" s="2329" customFormat="1" ht="15" hidden="1" customHeight="1">
      <c r="A1271" s="3122"/>
      <c r="B1271" s="3123"/>
      <c r="C1271" s="3124"/>
      <c r="D1271" s="3125"/>
      <c r="E1271" s="2354" t="s">
        <v>673</v>
      </c>
      <c r="F1271" s="2355">
        <f t="shared" si="139"/>
        <v>0</v>
      </c>
      <c r="G1271" s="2355"/>
      <c r="H1271" s="2355"/>
      <c r="I1271" s="2355"/>
      <c r="J1271" s="2356"/>
    </row>
    <row r="1272" spans="1:10" s="2329" customFormat="1" ht="15" hidden="1" customHeight="1">
      <c r="A1272" s="3122"/>
      <c r="B1272" s="3123"/>
      <c r="C1272" s="3124"/>
      <c r="D1272" s="3125"/>
      <c r="E1272" s="2354" t="s">
        <v>549</v>
      </c>
      <c r="F1272" s="2355">
        <f t="shared" si="139"/>
        <v>0</v>
      </c>
      <c r="G1272" s="2355"/>
      <c r="H1272" s="2355"/>
      <c r="I1272" s="2355"/>
      <c r="J1272" s="2356"/>
    </row>
    <row r="1273" spans="1:10" s="2329" customFormat="1" ht="15" hidden="1" customHeight="1">
      <c r="A1273" s="3122"/>
      <c r="B1273" s="3123"/>
      <c r="C1273" s="3124"/>
      <c r="D1273" s="3125"/>
      <c r="E1273" s="2364" t="s">
        <v>1137</v>
      </c>
      <c r="F1273" s="2365">
        <f>SUM(F1274:F1283)</f>
        <v>0</v>
      </c>
      <c r="G1273" s="2365">
        <f>SUM(G1274:G1283)</f>
        <v>0</v>
      </c>
      <c r="H1273" s="2365">
        <f>SUM(H1274:H1283)</f>
        <v>0</v>
      </c>
      <c r="I1273" s="2365">
        <f>SUM(I1274:I1283)</f>
        <v>0</v>
      </c>
      <c r="J1273" s="2366">
        <f>SUM(J1274:J1283)</f>
        <v>0</v>
      </c>
    </row>
    <row r="1274" spans="1:10" s="2333" customFormat="1" ht="15" hidden="1" customHeight="1">
      <c r="A1274" s="3122"/>
      <c r="B1274" s="3123"/>
      <c r="C1274" s="3124"/>
      <c r="D1274" s="3125"/>
      <c r="E1274" s="2389" t="s">
        <v>600</v>
      </c>
      <c r="F1274" s="2355">
        <f t="shared" ref="F1274:F1283" si="140">SUM(G1274:J1274)</f>
        <v>0</v>
      </c>
      <c r="G1274" s="2355"/>
      <c r="H1274" s="2355"/>
      <c r="I1274" s="2355"/>
      <c r="J1274" s="2356"/>
    </row>
    <row r="1275" spans="1:10" s="2333" customFormat="1" ht="15" hidden="1" customHeight="1">
      <c r="A1275" s="3122"/>
      <c r="B1275" s="3123"/>
      <c r="C1275" s="3124"/>
      <c r="D1275" s="3125"/>
      <c r="E1275" s="2389" t="s">
        <v>554</v>
      </c>
      <c r="F1275" s="2355">
        <f t="shared" si="140"/>
        <v>0</v>
      </c>
      <c r="G1275" s="2355"/>
      <c r="H1275" s="2355"/>
      <c r="I1275" s="2355"/>
      <c r="J1275" s="2356"/>
    </row>
    <row r="1276" spans="1:10" s="2333" customFormat="1" ht="15" hidden="1" customHeight="1">
      <c r="A1276" s="3122"/>
      <c r="B1276" s="3123"/>
      <c r="C1276" s="3124"/>
      <c r="D1276" s="3125"/>
      <c r="E1276" s="2389" t="s">
        <v>601</v>
      </c>
      <c r="F1276" s="2355">
        <f t="shared" si="140"/>
        <v>0</v>
      </c>
      <c r="G1276" s="2355"/>
      <c r="H1276" s="2355"/>
      <c r="I1276" s="2355"/>
      <c r="J1276" s="2356"/>
    </row>
    <row r="1277" spans="1:10" s="2333" customFormat="1" ht="15" hidden="1" customHeight="1">
      <c r="A1277" s="3122"/>
      <c r="B1277" s="3123"/>
      <c r="C1277" s="3124"/>
      <c r="D1277" s="3125"/>
      <c r="E1277" s="2389" t="s">
        <v>558</v>
      </c>
      <c r="F1277" s="2355">
        <f t="shared" si="140"/>
        <v>0</v>
      </c>
      <c r="G1277" s="2355"/>
      <c r="H1277" s="2355"/>
      <c r="I1277" s="2355"/>
      <c r="J1277" s="2356"/>
    </row>
    <row r="1278" spans="1:10" s="2333" customFormat="1" ht="15" hidden="1" customHeight="1">
      <c r="A1278" s="3122"/>
      <c r="B1278" s="3123"/>
      <c r="C1278" s="3124"/>
      <c r="D1278" s="3125"/>
      <c r="E1278" s="2389" t="s">
        <v>790</v>
      </c>
      <c r="F1278" s="2355">
        <f t="shared" si="140"/>
        <v>0</v>
      </c>
      <c r="G1278" s="2355"/>
      <c r="H1278" s="2355"/>
      <c r="I1278" s="2355"/>
      <c r="J1278" s="2356"/>
    </row>
    <row r="1279" spans="1:10" s="2333" customFormat="1" ht="15" hidden="1" customHeight="1">
      <c r="A1279" s="3122"/>
      <c r="B1279" s="3123"/>
      <c r="C1279" s="3124"/>
      <c r="D1279" s="3125"/>
      <c r="E1279" s="2389" t="s">
        <v>719</v>
      </c>
      <c r="F1279" s="2355">
        <f t="shared" si="140"/>
        <v>0</v>
      </c>
      <c r="G1279" s="2355"/>
      <c r="H1279" s="2355"/>
      <c r="I1279" s="2355"/>
      <c r="J1279" s="2356"/>
    </row>
    <row r="1280" spans="1:10" s="2333" customFormat="1" ht="15" hidden="1" customHeight="1">
      <c r="A1280" s="3122"/>
      <c r="B1280" s="3123"/>
      <c r="C1280" s="3124"/>
      <c r="D1280" s="3125"/>
      <c r="E1280" s="2389" t="s">
        <v>602</v>
      </c>
      <c r="F1280" s="2355">
        <f t="shared" si="140"/>
        <v>0</v>
      </c>
      <c r="G1280" s="2355"/>
      <c r="H1280" s="2355"/>
      <c r="I1280" s="2355"/>
      <c r="J1280" s="2356"/>
    </row>
    <row r="1281" spans="1:10" s="2333" customFormat="1" ht="15" hidden="1" customHeight="1">
      <c r="A1281" s="3122"/>
      <c r="B1281" s="3123"/>
      <c r="C1281" s="3124"/>
      <c r="D1281" s="3125"/>
      <c r="E1281" s="2389" t="s">
        <v>562</v>
      </c>
      <c r="F1281" s="2355">
        <f t="shared" si="140"/>
        <v>0</v>
      </c>
      <c r="G1281" s="2355"/>
      <c r="H1281" s="2355"/>
      <c r="I1281" s="2355"/>
      <c r="J1281" s="2356"/>
    </row>
    <row r="1282" spans="1:10" s="2333" customFormat="1" ht="15" hidden="1" customHeight="1">
      <c r="A1282" s="3122"/>
      <c r="B1282" s="3123"/>
      <c r="C1282" s="3124"/>
      <c r="D1282" s="3125"/>
      <c r="E1282" s="2389" t="s">
        <v>957</v>
      </c>
      <c r="F1282" s="2355">
        <f t="shared" si="140"/>
        <v>0</v>
      </c>
      <c r="G1282" s="2355"/>
      <c r="H1282" s="2355"/>
      <c r="I1282" s="2355"/>
      <c r="J1282" s="2356"/>
    </row>
    <row r="1283" spans="1:10" s="2333" customFormat="1" ht="15" hidden="1" customHeight="1">
      <c r="A1283" s="3122"/>
      <c r="B1283" s="3123"/>
      <c r="C1283" s="3124"/>
      <c r="D1283" s="3125"/>
      <c r="E1283" s="2389" t="s">
        <v>564</v>
      </c>
      <c r="F1283" s="2355">
        <f t="shared" si="140"/>
        <v>0</v>
      </c>
      <c r="G1283" s="2355"/>
      <c r="H1283" s="2355"/>
      <c r="I1283" s="2355"/>
      <c r="J1283" s="2356"/>
    </row>
    <row r="1284" spans="1:10" s="2329" customFormat="1" ht="15" hidden="1" customHeight="1">
      <c r="A1284" s="3122"/>
      <c r="B1284" s="3123"/>
      <c r="C1284" s="3124"/>
      <c r="D1284" s="3125"/>
      <c r="E1284" s="2367" t="s">
        <v>1130</v>
      </c>
      <c r="F1284" s="2362">
        <f>SUM(F1285:F1286)</f>
        <v>0</v>
      </c>
      <c r="G1284" s="2362">
        <f>SUM(G1285:G1286)</f>
        <v>0</v>
      </c>
      <c r="H1284" s="2362">
        <f>SUM(H1285:H1286)</f>
        <v>0</v>
      </c>
      <c r="I1284" s="2362">
        <f>SUM(I1285:I1286)</f>
        <v>0</v>
      </c>
      <c r="J1284" s="2363">
        <f>SUM(J1285:J1286)</f>
        <v>0</v>
      </c>
    </row>
    <row r="1285" spans="1:10" s="2329" customFormat="1" ht="15" hidden="1" customHeight="1">
      <c r="A1285" s="2350"/>
      <c r="B1285" s="2351"/>
      <c r="C1285" s="2352"/>
      <c r="D1285" s="2353"/>
      <c r="E1285" s="2354"/>
      <c r="F1285" s="2355">
        <f>SUM(G1285:J1285)</f>
        <v>0</v>
      </c>
      <c r="G1285" s="2355"/>
      <c r="H1285" s="2355"/>
      <c r="I1285" s="2355"/>
      <c r="J1285" s="2356"/>
    </row>
    <row r="1286" spans="1:10" s="2329" customFormat="1" ht="15" hidden="1" customHeight="1">
      <c r="A1286" s="2350"/>
      <c r="B1286" s="2351"/>
      <c r="C1286" s="2352"/>
      <c r="D1286" s="2353"/>
      <c r="E1286" s="2368"/>
      <c r="F1286" s="2355">
        <f>SUM(G1286:J1286)</f>
        <v>0</v>
      </c>
      <c r="G1286" s="2355"/>
      <c r="H1286" s="2355"/>
      <c r="I1286" s="2355"/>
      <c r="J1286" s="2356"/>
    </row>
    <row r="1287" spans="1:10" s="2329" customFormat="1" ht="22.5">
      <c r="A1287" s="3115" t="s">
        <v>1127</v>
      </c>
      <c r="B1287" s="3116" t="s">
        <v>1245</v>
      </c>
      <c r="C1287" s="3117">
        <v>801</v>
      </c>
      <c r="D1287" s="3118" t="s">
        <v>782</v>
      </c>
      <c r="E1287" s="2330" t="s">
        <v>1129</v>
      </c>
      <c r="F1287" s="2331">
        <f>SUM(F1288,F1312)</f>
        <v>57960</v>
      </c>
      <c r="G1287" s="2331">
        <f>SUM(G1288,G1312)</f>
        <v>0</v>
      </c>
      <c r="H1287" s="2331">
        <f>SUM(H1288,H1312)</f>
        <v>48849</v>
      </c>
      <c r="I1287" s="2331">
        <f>SUM(I1288,I1312)</f>
        <v>9111</v>
      </c>
      <c r="J1287" s="2332">
        <f>SUM(J1288,J1312)</f>
        <v>0</v>
      </c>
    </row>
    <row r="1288" spans="1:10" s="2329" customFormat="1" ht="21">
      <c r="A1288" s="3115"/>
      <c r="B1288" s="3116"/>
      <c r="C1288" s="3117"/>
      <c r="D1288" s="3118"/>
      <c r="E1288" s="2335" t="s">
        <v>1135</v>
      </c>
      <c r="F1288" s="2336">
        <f>SUM(F1289,F1292,F1301)</f>
        <v>57960</v>
      </c>
      <c r="G1288" s="2336">
        <f>SUM(G1289,G1292,G1301)</f>
        <v>0</v>
      </c>
      <c r="H1288" s="2336">
        <f>SUM(H1289,H1292,H1301)</f>
        <v>48849</v>
      </c>
      <c r="I1288" s="2336">
        <f>SUM(I1289,I1292,I1301)</f>
        <v>9111</v>
      </c>
      <c r="J1288" s="2337">
        <f>SUM(J1289,J1292,J1301)</f>
        <v>0</v>
      </c>
    </row>
    <row r="1289" spans="1:10" s="2329" customFormat="1" ht="15" hidden="1" customHeight="1">
      <c r="A1289" s="3115"/>
      <c r="B1289" s="3116"/>
      <c r="C1289" s="3117"/>
      <c r="D1289" s="3118"/>
      <c r="E1289" s="2347" t="s">
        <v>1150</v>
      </c>
      <c r="F1289" s="2348">
        <f>SUM(F1290:F1291)</f>
        <v>0</v>
      </c>
      <c r="G1289" s="2348">
        <f>SUM(G1290:G1291)</f>
        <v>0</v>
      </c>
      <c r="H1289" s="2348">
        <f>SUM(H1290:H1291)</f>
        <v>0</v>
      </c>
      <c r="I1289" s="2348">
        <f>SUM(I1290:I1291)</f>
        <v>0</v>
      </c>
      <c r="J1289" s="2349">
        <f>SUM(J1290:J1291)</f>
        <v>0</v>
      </c>
    </row>
    <row r="1290" spans="1:10" s="2329" customFormat="1" ht="15" hidden="1" customHeight="1">
      <c r="A1290" s="3115"/>
      <c r="B1290" s="3116"/>
      <c r="C1290" s="3117"/>
      <c r="D1290" s="3118"/>
      <c r="E1290" s="2372" t="s">
        <v>381</v>
      </c>
      <c r="F1290" s="2339">
        <f>SUM(G1290:J1290)</f>
        <v>0</v>
      </c>
      <c r="G1290" s="2339"/>
      <c r="H1290" s="2339"/>
      <c r="I1290" s="2339"/>
      <c r="J1290" s="2340"/>
    </row>
    <row r="1291" spans="1:10" s="2329" customFormat="1" ht="15" hidden="1" customHeight="1">
      <c r="A1291" s="3115"/>
      <c r="B1291" s="3116"/>
      <c r="C1291" s="3117"/>
      <c r="D1291" s="3118"/>
      <c r="E1291" s="2372" t="s">
        <v>303</v>
      </c>
      <c r="F1291" s="2339">
        <f>SUM(G1291:J1291)</f>
        <v>0</v>
      </c>
      <c r="G1291" s="2339"/>
      <c r="H1291" s="2339"/>
      <c r="I1291" s="2339"/>
      <c r="J1291" s="2340"/>
    </row>
    <row r="1292" spans="1:10" s="2329" customFormat="1" ht="22.5">
      <c r="A1292" s="3115"/>
      <c r="B1292" s="3116"/>
      <c r="C1292" s="3117"/>
      <c r="D1292" s="3118"/>
      <c r="E1292" s="2347" t="s">
        <v>1136</v>
      </c>
      <c r="F1292" s="2348">
        <f>SUM(F1293:F1300)</f>
        <v>3439</v>
      </c>
      <c r="G1292" s="2348">
        <f>SUM(G1293:G1300)</f>
        <v>0</v>
      </c>
      <c r="H1292" s="2348">
        <f>SUM(H1293:H1300)</f>
        <v>2899</v>
      </c>
      <c r="I1292" s="2348">
        <f>SUM(I1293:I1300)</f>
        <v>540</v>
      </c>
      <c r="J1292" s="2349">
        <f>SUM(J1293:J1300)</f>
        <v>0</v>
      </c>
    </row>
    <row r="1293" spans="1:10" s="2329" customFormat="1" ht="14.1" customHeight="1">
      <c r="A1293" s="3115"/>
      <c r="B1293" s="3116"/>
      <c r="C1293" s="3117"/>
      <c r="D1293" s="3118"/>
      <c r="E1293" s="2338" t="s">
        <v>596</v>
      </c>
      <c r="F1293" s="2339">
        <f t="shared" ref="F1293:F1300" si="141">SUM(G1293:J1293)</f>
        <v>2455</v>
      </c>
      <c r="G1293" s="2339"/>
      <c r="H1293" s="2339">
        <v>2455</v>
      </c>
      <c r="I1293" s="2339"/>
      <c r="J1293" s="2340"/>
    </row>
    <row r="1294" spans="1:10" s="2329" customFormat="1" ht="14.1" customHeight="1">
      <c r="A1294" s="3115"/>
      <c r="B1294" s="3116"/>
      <c r="C1294" s="3117"/>
      <c r="D1294" s="3118"/>
      <c r="E1294" s="2338" t="s">
        <v>541</v>
      </c>
      <c r="F1294" s="2339">
        <f t="shared" si="141"/>
        <v>457</v>
      </c>
      <c r="G1294" s="2339"/>
      <c r="H1294" s="2339"/>
      <c r="I1294" s="2339">
        <v>457</v>
      </c>
      <c r="J1294" s="2340"/>
    </row>
    <row r="1295" spans="1:10" s="2329" customFormat="1" ht="14.1" customHeight="1">
      <c r="A1295" s="3115"/>
      <c r="B1295" s="3116"/>
      <c r="C1295" s="3117"/>
      <c r="D1295" s="3118"/>
      <c r="E1295" s="2338" t="s">
        <v>598</v>
      </c>
      <c r="F1295" s="2339">
        <f t="shared" si="141"/>
        <v>384</v>
      </c>
      <c r="G1295" s="2339"/>
      <c r="H1295" s="2339">
        <v>384</v>
      </c>
      <c r="I1295" s="2339"/>
      <c r="J1295" s="2340"/>
    </row>
    <row r="1296" spans="1:10" s="2329" customFormat="1" ht="14.1" customHeight="1">
      <c r="A1296" s="3115"/>
      <c r="B1296" s="3116"/>
      <c r="C1296" s="3117"/>
      <c r="D1296" s="3118"/>
      <c r="E1296" s="2338" t="s">
        <v>545</v>
      </c>
      <c r="F1296" s="2339">
        <f t="shared" si="141"/>
        <v>72</v>
      </c>
      <c r="G1296" s="2339"/>
      <c r="H1296" s="2339"/>
      <c r="I1296" s="2339">
        <v>72</v>
      </c>
      <c r="J1296" s="2340"/>
    </row>
    <row r="1297" spans="1:10" s="2329" customFormat="1" ht="14.1" customHeight="1">
      <c r="A1297" s="3115"/>
      <c r="B1297" s="3116"/>
      <c r="C1297" s="3117"/>
      <c r="D1297" s="3118"/>
      <c r="E1297" s="2338" t="s">
        <v>599</v>
      </c>
      <c r="F1297" s="2339">
        <f t="shared" si="141"/>
        <v>60</v>
      </c>
      <c r="G1297" s="2339"/>
      <c r="H1297" s="2339">
        <v>60</v>
      </c>
      <c r="I1297" s="2339"/>
      <c r="J1297" s="2340"/>
    </row>
    <row r="1298" spans="1:10" s="2329" customFormat="1" ht="14.1" customHeight="1">
      <c r="A1298" s="3115"/>
      <c r="B1298" s="3116"/>
      <c r="C1298" s="3117"/>
      <c r="D1298" s="3118"/>
      <c r="E1298" s="2338" t="s">
        <v>547</v>
      </c>
      <c r="F1298" s="2339">
        <f t="shared" si="141"/>
        <v>11</v>
      </c>
      <c r="G1298" s="2339"/>
      <c r="H1298" s="2339"/>
      <c r="I1298" s="2339">
        <v>11</v>
      </c>
      <c r="J1298" s="2340"/>
    </row>
    <row r="1299" spans="1:10" s="2329" customFormat="1" ht="15" hidden="1" customHeight="1">
      <c r="A1299" s="3115"/>
      <c r="B1299" s="3116"/>
      <c r="C1299" s="3117"/>
      <c r="D1299" s="3118"/>
      <c r="E1299" s="2338" t="s">
        <v>673</v>
      </c>
      <c r="F1299" s="2339">
        <f t="shared" si="141"/>
        <v>0</v>
      </c>
      <c r="G1299" s="2339"/>
      <c r="H1299" s="2339"/>
      <c r="I1299" s="2339"/>
      <c r="J1299" s="2340"/>
    </row>
    <row r="1300" spans="1:10" s="2329" customFormat="1" ht="15" hidden="1" customHeight="1">
      <c r="A1300" s="3115"/>
      <c r="B1300" s="3116"/>
      <c r="C1300" s="3117"/>
      <c r="D1300" s="3118"/>
      <c r="E1300" s="2338" t="s">
        <v>549</v>
      </c>
      <c r="F1300" s="2339">
        <f t="shared" si="141"/>
        <v>0</v>
      </c>
      <c r="G1300" s="2339"/>
      <c r="H1300" s="2339"/>
      <c r="I1300" s="2339"/>
      <c r="J1300" s="2340"/>
    </row>
    <row r="1301" spans="1:10" s="2329" customFormat="1" ht="22.5">
      <c r="A1301" s="3115"/>
      <c r="B1301" s="3116"/>
      <c r="C1301" s="3117"/>
      <c r="D1301" s="3118"/>
      <c r="E1301" s="2347" t="s">
        <v>1137</v>
      </c>
      <c r="F1301" s="2348">
        <f>SUM(F1302:F1311)</f>
        <v>54521</v>
      </c>
      <c r="G1301" s="2348">
        <f>SUM(G1302:G1311)</f>
        <v>0</v>
      </c>
      <c r="H1301" s="2348">
        <f>SUM(H1302:H1311)</f>
        <v>45950</v>
      </c>
      <c r="I1301" s="2348">
        <f>SUM(I1302:I1311)</f>
        <v>8571</v>
      </c>
      <c r="J1301" s="2349">
        <f>SUM(J1302:J1311)</f>
        <v>0</v>
      </c>
    </row>
    <row r="1302" spans="1:10" s="2333" customFormat="1" ht="14.1" customHeight="1">
      <c r="A1302" s="3115"/>
      <c r="B1302" s="3116"/>
      <c r="C1302" s="3117"/>
      <c r="D1302" s="3118"/>
      <c r="E1302" s="2372" t="s">
        <v>600</v>
      </c>
      <c r="F1302" s="2339">
        <f t="shared" ref="F1302:F1311" si="142">SUM(G1302:J1302)</f>
        <v>3104</v>
      </c>
      <c r="G1302" s="2339"/>
      <c r="H1302" s="2339">
        <v>3104</v>
      </c>
      <c r="I1302" s="2339"/>
      <c r="J1302" s="2340"/>
    </row>
    <row r="1303" spans="1:10" s="2333" customFormat="1" ht="14.1" customHeight="1">
      <c r="A1303" s="3115"/>
      <c r="B1303" s="3116"/>
      <c r="C1303" s="3117"/>
      <c r="D1303" s="3118"/>
      <c r="E1303" s="2372" t="s">
        <v>554</v>
      </c>
      <c r="F1303" s="2339">
        <f t="shared" si="142"/>
        <v>579</v>
      </c>
      <c r="G1303" s="2339"/>
      <c r="H1303" s="2339"/>
      <c r="I1303" s="2339">
        <v>579</v>
      </c>
      <c r="J1303" s="2340"/>
    </row>
    <row r="1304" spans="1:10" s="2333" customFormat="1" ht="14.1" customHeight="1">
      <c r="A1304" s="3115"/>
      <c r="B1304" s="3116"/>
      <c r="C1304" s="3117"/>
      <c r="D1304" s="3118"/>
      <c r="E1304" s="2372" t="s">
        <v>601</v>
      </c>
      <c r="F1304" s="2339">
        <f t="shared" si="142"/>
        <v>42477</v>
      </c>
      <c r="G1304" s="2339"/>
      <c r="H1304" s="2339">
        <v>42477</v>
      </c>
      <c r="I1304" s="2339"/>
      <c r="J1304" s="2340"/>
    </row>
    <row r="1305" spans="1:10" s="2333" customFormat="1" ht="14.1" customHeight="1">
      <c r="A1305" s="3115"/>
      <c r="B1305" s="3116"/>
      <c r="C1305" s="3117"/>
      <c r="D1305" s="3118"/>
      <c r="E1305" s="2372" t="s">
        <v>558</v>
      </c>
      <c r="F1305" s="2339">
        <f t="shared" si="142"/>
        <v>7923</v>
      </c>
      <c r="G1305" s="2339"/>
      <c r="H1305" s="2339"/>
      <c r="I1305" s="2339">
        <v>7923</v>
      </c>
      <c r="J1305" s="2340"/>
    </row>
    <row r="1306" spans="1:10" s="2333" customFormat="1" ht="14.1" customHeight="1">
      <c r="A1306" s="3115"/>
      <c r="B1306" s="3116"/>
      <c r="C1306" s="3117"/>
      <c r="D1306" s="3118"/>
      <c r="E1306" s="2372" t="s">
        <v>790</v>
      </c>
      <c r="F1306" s="2339">
        <f t="shared" si="142"/>
        <v>331</v>
      </c>
      <c r="G1306" s="2339"/>
      <c r="H1306" s="2339">
        <v>331</v>
      </c>
      <c r="I1306" s="2339"/>
      <c r="J1306" s="2340"/>
    </row>
    <row r="1307" spans="1:10" s="2333" customFormat="1" ht="14.1" customHeight="1">
      <c r="A1307" s="3115"/>
      <c r="B1307" s="3116"/>
      <c r="C1307" s="3117"/>
      <c r="D1307" s="3118"/>
      <c r="E1307" s="2372" t="s">
        <v>719</v>
      </c>
      <c r="F1307" s="2339">
        <f t="shared" si="142"/>
        <v>62</v>
      </c>
      <c r="G1307" s="2339"/>
      <c r="H1307" s="2339"/>
      <c r="I1307" s="2339">
        <v>62</v>
      </c>
      <c r="J1307" s="2340"/>
    </row>
    <row r="1308" spans="1:10" s="2333" customFormat="1" ht="14.1" customHeight="1">
      <c r="A1308" s="3115"/>
      <c r="B1308" s="3116"/>
      <c r="C1308" s="3117"/>
      <c r="D1308" s="3118"/>
      <c r="E1308" s="2372" t="s">
        <v>602</v>
      </c>
      <c r="F1308" s="2339">
        <f t="shared" si="142"/>
        <v>38</v>
      </c>
      <c r="G1308" s="2339"/>
      <c r="H1308" s="2339">
        <v>38</v>
      </c>
      <c r="I1308" s="2339"/>
      <c r="J1308" s="2340"/>
    </row>
    <row r="1309" spans="1:10" s="2333" customFormat="1" ht="14.1" customHeight="1">
      <c r="A1309" s="3115"/>
      <c r="B1309" s="3116"/>
      <c r="C1309" s="3117"/>
      <c r="D1309" s="3118"/>
      <c r="E1309" s="2372" t="s">
        <v>562</v>
      </c>
      <c r="F1309" s="2339">
        <f t="shared" si="142"/>
        <v>7</v>
      </c>
      <c r="G1309" s="2339"/>
      <c r="H1309" s="2339"/>
      <c r="I1309" s="2339">
        <v>7</v>
      </c>
      <c r="J1309" s="2340"/>
    </row>
    <row r="1310" spans="1:10" s="2333" customFormat="1" ht="15" hidden="1" customHeight="1">
      <c r="A1310" s="3115"/>
      <c r="B1310" s="3116"/>
      <c r="C1310" s="3117"/>
      <c r="D1310" s="3118"/>
      <c r="E1310" s="2372" t="s">
        <v>957</v>
      </c>
      <c r="F1310" s="2339">
        <f t="shared" si="142"/>
        <v>0</v>
      </c>
      <c r="G1310" s="2339"/>
      <c r="H1310" s="2339"/>
      <c r="I1310" s="2339"/>
      <c r="J1310" s="2340"/>
    </row>
    <row r="1311" spans="1:10" s="2333" customFormat="1" ht="15" hidden="1" customHeight="1">
      <c r="A1311" s="3115"/>
      <c r="B1311" s="3116"/>
      <c r="C1311" s="3117"/>
      <c r="D1311" s="3118"/>
      <c r="E1311" s="2372" t="s">
        <v>564</v>
      </c>
      <c r="F1311" s="2339">
        <f t="shared" si="142"/>
        <v>0</v>
      </c>
      <c r="G1311" s="2339"/>
      <c r="H1311" s="2339"/>
      <c r="I1311" s="2339"/>
      <c r="J1311" s="2340"/>
    </row>
    <row r="1312" spans="1:10" s="2329" customFormat="1" ht="15" customHeight="1">
      <c r="A1312" s="3115"/>
      <c r="B1312" s="3116"/>
      <c r="C1312" s="3117"/>
      <c r="D1312" s="3118"/>
      <c r="E1312" s="2341" t="s">
        <v>1130</v>
      </c>
      <c r="F1312" s="2336">
        <f>SUM(F1313:F1314)</f>
        <v>0</v>
      </c>
      <c r="G1312" s="2336">
        <f>SUM(G1313:G1314)</f>
        <v>0</v>
      </c>
      <c r="H1312" s="2336">
        <f>SUM(H1313:H1314)</f>
        <v>0</v>
      </c>
      <c r="I1312" s="2336">
        <f>SUM(I1313:I1314)</f>
        <v>0</v>
      </c>
      <c r="J1312" s="2337">
        <f>SUM(J1313:J1314)</f>
        <v>0</v>
      </c>
    </row>
    <row r="1313" spans="1:12" s="2329" customFormat="1" ht="15" hidden="1" customHeight="1">
      <c r="A1313" s="2350"/>
      <c r="B1313" s="2351"/>
      <c r="C1313" s="2352"/>
      <c r="D1313" s="2353"/>
      <c r="E1313" s="2354"/>
      <c r="F1313" s="2355">
        <f>SUM(G1313:J1313)</f>
        <v>0</v>
      </c>
      <c r="G1313" s="2355"/>
      <c r="H1313" s="2355"/>
      <c r="I1313" s="2355"/>
      <c r="J1313" s="2356"/>
    </row>
    <row r="1314" spans="1:12" s="2329" customFormat="1" ht="15" hidden="1" customHeight="1">
      <c r="A1314" s="2350"/>
      <c r="B1314" s="2351"/>
      <c r="C1314" s="2352"/>
      <c r="D1314" s="2353"/>
      <c r="E1314" s="2368"/>
      <c r="F1314" s="2355">
        <f>SUM(G1314:J1314)</f>
        <v>0</v>
      </c>
      <c r="G1314" s="2355"/>
      <c r="H1314" s="2355"/>
      <c r="I1314" s="2355"/>
      <c r="J1314" s="2356"/>
    </row>
    <row r="1315" spans="1:12" s="2329" customFormat="1" ht="22.5">
      <c r="A1315" s="3115" t="s">
        <v>1131</v>
      </c>
      <c r="B1315" s="3116" t="s">
        <v>1246</v>
      </c>
      <c r="C1315" s="3117">
        <v>801</v>
      </c>
      <c r="D1315" s="3118" t="s">
        <v>782</v>
      </c>
      <c r="E1315" s="2330" t="s">
        <v>1129</v>
      </c>
      <c r="F1315" s="2331">
        <f>SUM(F1316,F1341)</f>
        <v>234347</v>
      </c>
      <c r="G1315" s="2331">
        <f>SUM(G1316,G1341)</f>
        <v>23434</v>
      </c>
      <c r="H1315" s="2331">
        <f>SUM(H1316,H1341)</f>
        <v>199195</v>
      </c>
      <c r="I1315" s="2331">
        <f>SUM(I1316,I1341)</f>
        <v>11718</v>
      </c>
      <c r="J1315" s="2332">
        <f>SUM(J1316,J1341)</f>
        <v>0</v>
      </c>
      <c r="L1315" s="2390"/>
    </row>
    <row r="1316" spans="1:12" s="2329" customFormat="1" ht="21">
      <c r="A1316" s="3115"/>
      <c r="B1316" s="3116"/>
      <c r="C1316" s="3117"/>
      <c r="D1316" s="3118"/>
      <c r="E1316" s="2335" t="s">
        <v>1135</v>
      </c>
      <c r="F1316" s="2336">
        <f>SUM(F1317,F1320,F1329)</f>
        <v>234347</v>
      </c>
      <c r="G1316" s="2336">
        <f>SUM(G1317,G1320,G1329)</f>
        <v>23434</v>
      </c>
      <c r="H1316" s="2336">
        <f>SUM(H1317,H1320,H1329)</f>
        <v>199195</v>
      </c>
      <c r="I1316" s="2336">
        <f>SUM(I1317,I1320,I1329)</f>
        <v>11718</v>
      </c>
      <c r="J1316" s="2337">
        <f>SUM(J1317,J1320,J1329)</f>
        <v>0</v>
      </c>
    </row>
    <row r="1317" spans="1:12" s="2329" customFormat="1" ht="15" hidden="1" customHeight="1">
      <c r="A1317" s="3115"/>
      <c r="B1317" s="3116"/>
      <c r="C1317" s="3117"/>
      <c r="D1317" s="3118"/>
      <c r="E1317" s="2347" t="s">
        <v>1150</v>
      </c>
      <c r="F1317" s="2348">
        <f>SUM(F1318:F1319)</f>
        <v>0</v>
      </c>
      <c r="G1317" s="2348">
        <f>SUM(G1318:G1319)</f>
        <v>0</v>
      </c>
      <c r="H1317" s="2348">
        <f>SUM(H1318:H1319)</f>
        <v>0</v>
      </c>
      <c r="I1317" s="2348">
        <f>SUM(I1318:I1319)</f>
        <v>0</v>
      </c>
      <c r="J1317" s="2349">
        <f>SUM(J1318:J1319)</f>
        <v>0</v>
      </c>
    </row>
    <row r="1318" spans="1:12" s="2329" customFormat="1" ht="15" hidden="1" customHeight="1">
      <c r="A1318" s="3115"/>
      <c r="B1318" s="3116"/>
      <c r="C1318" s="3117"/>
      <c r="D1318" s="3118"/>
      <c r="E1318" s="2372" t="s">
        <v>381</v>
      </c>
      <c r="F1318" s="2339">
        <f>SUM(G1318:J1318)</f>
        <v>0</v>
      </c>
      <c r="G1318" s="2339"/>
      <c r="H1318" s="2339"/>
      <c r="I1318" s="2339"/>
      <c r="J1318" s="2340"/>
    </row>
    <row r="1319" spans="1:12" s="2329" customFormat="1" ht="15" hidden="1" customHeight="1">
      <c r="A1319" s="3115"/>
      <c r="B1319" s="3116"/>
      <c r="C1319" s="3117"/>
      <c r="D1319" s="3118"/>
      <c r="E1319" s="2372" t="s">
        <v>303</v>
      </c>
      <c r="F1319" s="2339">
        <f>SUM(G1319:J1319)</f>
        <v>0</v>
      </c>
      <c r="G1319" s="2339"/>
      <c r="H1319" s="2339"/>
      <c r="I1319" s="2339"/>
      <c r="J1319" s="2340"/>
    </row>
    <row r="1320" spans="1:12" s="2329" customFormat="1" ht="22.5">
      <c r="A1320" s="3115"/>
      <c r="B1320" s="3116"/>
      <c r="C1320" s="3117"/>
      <c r="D1320" s="3118"/>
      <c r="E1320" s="2347" t="s">
        <v>1136</v>
      </c>
      <c r="F1320" s="2348">
        <f>SUM(F1321:F1328)</f>
        <v>28716</v>
      </c>
      <c r="G1320" s="2348">
        <f t="shared" ref="G1320:J1320" si="143">SUM(G1321:G1328)</f>
        <v>2872</v>
      </c>
      <c r="H1320" s="2348">
        <f t="shared" si="143"/>
        <v>24416</v>
      </c>
      <c r="I1320" s="2348">
        <f t="shared" si="143"/>
        <v>1428</v>
      </c>
      <c r="J1320" s="2349">
        <f t="shared" si="143"/>
        <v>0</v>
      </c>
    </row>
    <row r="1321" spans="1:12" s="2329" customFormat="1" ht="15" customHeight="1">
      <c r="A1321" s="3115"/>
      <c r="B1321" s="3116"/>
      <c r="C1321" s="3117"/>
      <c r="D1321" s="3118"/>
      <c r="E1321" s="2338" t="s">
        <v>596</v>
      </c>
      <c r="F1321" s="2339">
        <f t="shared" ref="F1321:F1328" si="144">SUM(G1321:J1321)</f>
        <v>20409</v>
      </c>
      <c r="G1321" s="2339"/>
      <c r="H1321" s="2339">
        <v>20409</v>
      </c>
      <c r="I1321" s="2339"/>
      <c r="J1321" s="2340"/>
    </row>
    <row r="1322" spans="1:12" s="2329" customFormat="1" ht="15" customHeight="1">
      <c r="A1322" s="3115"/>
      <c r="B1322" s="3116"/>
      <c r="C1322" s="3117"/>
      <c r="D1322" s="3118"/>
      <c r="E1322" s="2338" t="s">
        <v>541</v>
      </c>
      <c r="F1322" s="2339">
        <f t="shared" si="144"/>
        <v>3593</v>
      </c>
      <c r="G1322" s="2339">
        <v>2400</v>
      </c>
      <c r="H1322" s="2339"/>
      <c r="I1322" s="2339">
        <v>1193</v>
      </c>
      <c r="J1322" s="2340"/>
    </row>
    <row r="1323" spans="1:12" s="2329" customFormat="1" ht="15" customHeight="1">
      <c r="A1323" s="3115"/>
      <c r="B1323" s="3116"/>
      <c r="C1323" s="3117"/>
      <c r="D1323" s="3118"/>
      <c r="E1323" s="2338" t="s">
        <v>598</v>
      </c>
      <c r="F1323" s="2339">
        <f t="shared" si="144"/>
        <v>3507</v>
      </c>
      <c r="G1323" s="2339"/>
      <c r="H1323" s="2339">
        <v>3507</v>
      </c>
      <c r="I1323" s="2339"/>
      <c r="J1323" s="2340"/>
    </row>
    <row r="1324" spans="1:12" s="2329" customFormat="1" ht="15" customHeight="1">
      <c r="A1324" s="3115"/>
      <c r="B1324" s="3116"/>
      <c r="C1324" s="3117"/>
      <c r="D1324" s="3118"/>
      <c r="E1324" s="2338" t="s">
        <v>545</v>
      </c>
      <c r="F1324" s="2339">
        <f t="shared" si="144"/>
        <v>619</v>
      </c>
      <c r="G1324" s="2339">
        <v>413</v>
      </c>
      <c r="H1324" s="2339"/>
      <c r="I1324" s="2339">
        <v>206</v>
      </c>
      <c r="J1324" s="2340"/>
    </row>
    <row r="1325" spans="1:12" s="2329" customFormat="1" ht="15" customHeight="1">
      <c r="A1325" s="3115"/>
      <c r="B1325" s="3116"/>
      <c r="C1325" s="3117"/>
      <c r="D1325" s="3118"/>
      <c r="E1325" s="2338" t="s">
        <v>599</v>
      </c>
      <c r="F1325" s="2339">
        <f t="shared" si="144"/>
        <v>500</v>
      </c>
      <c r="G1325" s="2339"/>
      <c r="H1325" s="2339">
        <v>500</v>
      </c>
      <c r="I1325" s="2339"/>
      <c r="J1325" s="2340"/>
    </row>
    <row r="1326" spans="1:12" s="2329" customFormat="1" ht="15" customHeight="1">
      <c r="A1326" s="3115"/>
      <c r="B1326" s="3116"/>
      <c r="C1326" s="3117"/>
      <c r="D1326" s="3118"/>
      <c r="E1326" s="2338" t="s">
        <v>547</v>
      </c>
      <c r="F1326" s="2339">
        <f t="shared" si="144"/>
        <v>88</v>
      </c>
      <c r="G1326" s="2339">
        <v>59</v>
      </c>
      <c r="H1326" s="2339"/>
      <c r="I1326" s="2339">
        <v>29</v>
      </c>
      <c r="J1326" s="2340"/>
    </row>
    <row r="1327" spans="1:12" s="2329" customFormat="1" ht="15" hidden="1" customHeight="1">
      <c r="A1327" s="3115"/>
      <c r="B1327" s="3116"/>
      <c r="C1327" s="3117"/>
      <c r="D1327" s="3118"/>
      <c r="E1327" s="2338" t="s">
        <v>673</v>
      </c>
      <c r="F1327" s="2339">
        <f t="shared" si="144"/>
        <v>0</v>
      </c>
      <c r="G1327" s="2339"/>
      <c r="H1327" s="2339"/>
      <c r="I1327" s="2339"/>
      <c r="J1327" s="2340"/>
    </row>
    <row r="1328" spans="1:12" s="2329" customFormat="1" ht="15" hidden="1" customHeight="1">
      <c r="A1328" s="3115"/>
      <c r="B1328" s="3116"/>
      <c r="C1328" s="3117"/>
      <c r="D1328" s="3118"/>
      <c r="E1328" s="2338" t="s">
        <v>549</v>
      </c>
      <c r="F1328" s="2339">
        <f t="shared" si="144"/>
        <v>0</v>
      </c>
      <c r="G1328" s="2339"/>
      <c r="H1328" s="2339"/>
      <c r="I1328" s="2339"/>
      <c r="J1328" s="2340"/>
    </row>
    <row r="1329" spans="1:11" s="2329" customFormat="1" ht="22.5">
      <c r="A1329" s="3115"/>
      <c r="B1329" s="3116"/>
      <c r="C1329" s="3117"/>
      <c r="D1329" s="3118"/>
      <c r="E1329" s="2347" t="s">
        <v>1137</v>
      </c>
      <c r="F1329" s="2348">
        <f>SUM(F1330:F1340)</f>
        <v>205631</v>
      </c>
      <c r="G1329" s="2348">
        <f>SUM(G1330:G1340)</f>
        <v>20562</v>
      </c>
      <c r="H1329" s="2348">
        <f>SUM(H1330:H1340)</f>
        <v>174779</v>
      </c>
      <c r="I1329" s="2348">
        <f>SUM(I1330:I1340)</f>
        <v>10290</v>
      </c>
      <c r="J1329" s="2349">
        <f>SUM(J1330:J1340)</f>
        <v>0</v>
      </c>
    </row>
    <row r="1330" spans="1:11" s="2333" customFormat="1" ht="15" customHeight="1">
      <c r="A1330" s="3115"/>
      <c r="B1330" s="3116"/>
      <c r="C1330" s="3117"/>
      <c r="D1330" s="3118"/>
      <c r="E1330" s="2372" t="s">
        <v>600</v>
      </c>
      <c r="F1330" s="2339">
        <f t="shared" ref="F1330:F1340" si="145">SUM(G1330:J1330)</f>
        <v>4250</v>
      </c>
      <c r="G1330" s="2339"/>
      <c r="H1330" s="2339">
        <v>4250</v>
      </c>
      <c r="I1330" s="2339"/>
      <c r="J1330" s="2340"/>
    </row>
    <row r="1331" spans="1:11" s="2333" customFormat="1" ht="15" customHeight="1">
      <c r="A1331" s="3115"/>
      <c r="B1331" s="3116"/>
      <c r="C1331" s="3117"/>
      <c r="D1331" s="3118"/>
      <c r="E1331" s="2372" t="s">
        <v>554</v>
      </c>
      <c r="F1331" s="2339">
        <f t="shared" si="145"/>
        <v>748</v>
      </c>
      <c r="G1331" s="2339">
        <v>498</v>
      </c>
      <c r="H1331" s="2339"/>
      <c r="I1331" s="2339">
        <v>250</v>
      </c>
      <c r="J1331" s="2340"/>
    </row>
    <row r="1332" spans="1:11" s="2333" customFormat="1" ht="15" customHeight="1">
      <c r="A1332" s="3115"/>
      <c r="B1332" s="3116"/>
      <c r="C1332" s="3117"/>
      <c r="D1332" s="3118"/>
      <c r="E1332" s="2372" t="s">
        <v>780</v>
      </c>
      <c r="F1332" s="2339">
        <f t="shared" si="145"/>
        <v>23119</v>
      </c>
      <c r="G1332" s="2339"/>
      <c r="H1332" s="2339">
        <v>23119</v>
      </c>
      <c r="I1332" s="2339"/>
      <c r="J1332" s="2340"/>
    </row>
    <row r="1333" spans="1:11" s="2333" customFormat="1" ht="15" customHeight="1">
      <c r="A1333" s="3115"/>
      <c r="B1333" s="3116"/>
      <c r="C1333" s="3117"/>
      <c r="D1333" s="3118"/>
      <c r="E1333" s="2372" t="s">
        <v>781</v>
      </c>
      <c r="F1333" s="2339">
        <f t="shared" si="145"/>
        <v>4081</v>
      </c>
      <c r="G1333" s="2339">
        <v>2720</v>
      </c>
      <c r="H1333" s="2339"/>
      <c r="I1333" s="2339">
        <v>1361</v>
      </c>
      <c r="J1333" s="2340"/>
    </row>
    <row r="1334" spans="1:11" s="2333" customFormat="1" ht="15" customHeight="1">
      <c r="A1334" s="3115"/>
      <c r="B1334" s="3116"/>
      <c r="C1334" s="3117"/>
      <c r="D1334" s="3118"/>
      <c r="E1334" s="2372" t="s">
        <v>786</v>
      </c>
      <c r="F1334" s="2339">
        <f t="shared" si="145"/>
        <v>5486</v>
      </c>
      <c r="G1334" s="2339"/>
      <c r="H1334" s="2339">
        <v>5486</v>
      </c>
      <c r="I1334" s="2339"/>
      <c r="J1334" s="2340"/>
    </row>
    <row r="1335" spans="1:11" s="2333" customFormat="1" ht="15" customHeight="1">
      <c r="A1335" s="3115"/>
      <c r="B1335" s="3116"/>
      <c r="C1335" s="3117"/>
      <c r="D1335" s="3118"/>
      <c r="E1335" s="2372" t="s">
        <v>693</v>
      </c>
      <c r="F1335" s="2339">
        <f t="shared" si="145"/>
        <v>969</v>
      </c>
      <c r="G1335" s="2339">
        <v>646</v>
      </c>
      <c r="H1335" s="2339"/>
      <c r="I1335" s="2339">
        <v>323</v>
      </c>
      <c r="J1335" s="2340"/>
    </row>
    <row r="1336" spans="1:11" s="2333" customFormat="1" ht="15" customHeight="1">
      <c r="A1336" s="3115"/>
      <c r="B1336" s="3116"/>
      <c r="C1336" s="3117"/>
      <c r="D1336" s="3118"/>
      <c r="E1336" s="2372" t="s">
        <v>601</v>
      </c>
      <c r="F1336" s="2339">
        <f t="shared" si="145"/>
        <v>140904</v>
      </c>
      <c r="G1336" s="2339"/>
      <c r="H1336" s="2339">
        <v>140904</v>
      </c>
      <c r="I1336" s="2339"/>
      <c r="J1336" s="2340"/>
    </row>
    <row r="1337" spans="1:11" s="2333" customFormat="1" ht="15" customHeight="1">
      <c r="A1337" s="3115"/>
      <c r="B1337" s="3116"/>
      <c r="C1337" s="3117"/>
      <c r="D1337" s="3118"/>
      <c r="E1337" s="2372" t="s">
        <v>558</v>
      </c>
      <c r="F1337" s="2339">
        <f t="shared" si="145"/>
        <v>24874</v>
      </c>
      <c r="G1337" s="2339">
        <v>16578</v>
      </c>
      <c r="H1337" s="2339"/>
      <c r="I1337" s="2339">
        <v>8296</v>
      </c>
      <c r="J1337" s="2340"/>
    </row>
    <row r="1338" spans="1:11" s="2333" customFormat="1" ht="15" customHeight="1">
      <c r="A1338" s="3115"/>
      <c r="B1338" s="3116"/>
      <c r="C1338" s="3117"/>
      <c r="D1338" s="3118"/>
      <c r="E1338" s="2372" t="s">
        <v>790</v>
      </c>
      <c r="F1338" s="2339">
        <f t="shared" si="145"/>
        <v>1020</v>
      </c>
      <c r="G1338" s="2339"/>
      <c r="H1338" s="2339">
        <v>1020</v>
      </c>
      <c r="I1338" s="2339"/>
      <c r="J1338" s="2340"/>
    </row>
    <row r="1339" spans="1:11" s="2333" customFormat="1" ht="15" customHeight="1">
      <c r="A1339" s="3115"/>
      <c r="B1339" s="3116"/>
      <c r="C1339" s="3117"/>
      <c r="D1339" s="3118"/>
      <c r="E1339" s="2372" t="s">
        <v>719</v>
      </c>
      <c r="F1339" s="2339">
        <f t="shared" si="145"/>
        <v>180</v>
      </c>
      <c r="G1339" s="2339">
        <v>120</v>
      </c>
      <c r="H1339" s="2339"/>
      <c r="I1339" s="2339">
        <v>60</v>
      </c>
      <c r="J1339" s="2340"/>
    </row>
    <row r="1340" spans="1:11" s="2333" customFormat="1" ht="15" hidden="1" customHeight="1">
      <c r="A1340" s="3115"/>
      <c r="B1340" s="3116"/>
      <c r="C1340" s="3117"/>
      <c r="D1340" s="3118"/>
      <c r="E1340" s="2372" t="s">
        <v>595</v>
      </c>
      <c r="F1340" s="2339">
        <f t="shared" si="145"/>
        <v>0</v>
      </c>
      <c r="G1340" s="2339"/>
      <c r="H1340" s="2339"/>
      <c r="I1340" s="2339"/>
      <c r="J1340" s="2340"/>
    </row>
    <row r="1341" spans="1:11" s="2329" customFormat="1" ht="15" customHeight="1" thickBot="1">
      <c r="A1341" s="3115"/>
      <c r="B1341" s="3116"/>
      <c r="C1341" s="3117"/>
      <c r="D1341" s="3118"/>
      <c r="E1341" s="2341" t="s">
        <v>1130</v>
      </c>
      <c r="F1341" s="2336">
        <f>SUM(F1342:F1343)</f>
        <v>0</v>
      </c>
      <c r="G1341" s="2336">
        <f>SUM(G1342:G1343)</f>
        <v>0</v>
      </c>
      <c r="H1341" s="2336">
        <f>SUM(H1342:H1343)</f>
        <v>0</v>
      </c>
      <c r="I1341" s="2336">
        <f>SUM(I1342:I1343)</f>
        <v>0</v>
      </c>
      <c r="J1341" s="2337">
        <f>SUM(J1342:J1343)</f>
        <v>0</v>
      </c>
    </row>
    <row r="1342" spans="1:11" s="2329" customFormat="1" ht="15" hidden="1" customHeight="1">
      <c r="A1342" s="2350"/>
      <c r="B1342" s="2351"/>
      <c r="C1342" s="2352"/>
      <c r="D1342" s="2353"/>
      <c r="E1342" s="2354"/>
      <c r="F1342" s="2355">
        <f>SUM(G1342:J1342)</f>
        <v>0</v>
      </c>
      <c r="G1342" s="2355"/>
      <c r="H1342" s="2355"/>
      <c r="I1342" s="2355"/>
      <c r="J1342" s="2356"/>
    </row>
    <row r="1343" spans="1:11" s="2329" customFormat="1" ht="15" hidden="1" customHeight="1">
      <c r="A1343" s="2391"/>
      <c r="B1343" s="2392"/>
      <c r="C1343" s="2393"/>
      <c r="D1343" s="2394"/>
      <c r="E1343" s="2395"/>
      <c r="F1343" s="2396">
        <f>SUM(G1343:J1343)</f>
        <v>0</v>
      </c>
      <c r="G1343" s="2396"/>
      <c r="H1343" s="2396"/>
      <c r="I1343" s="2396"/>
      <c r="J1343" s="2397"/>
    </row>
    <row r="1344" spans="1:11" s="100" customFormat="1" ht="30" customHeight="1" thickBot="1">
      <c r="A1344" s="3119" t="s">
        <v>1247</v>
      </c>
      <c r="B1344" s="3120"/>
      <c r="C1344" s="3120"/>
      <c r="D1344" s="3120"/>
      <c r="E1344" s="3120"/>
      <c r="F1344" s="2398">
        <f>F8+F745+F913+F925+F937+F954+F979+F1108+F1257</f>
        <v>625543973</v>
      </c>
      <c r="G1344" s="2398">
        <f>G8+G745+G913+G925+G937+G954+G979+G1108+G1257</f>
        <v>190434594</v>
      </c>
      <c r="H1344" s="2398">
        <f>H8+H745+H913+H925+H937+H954+H979+H1108+H1257</f>
        <v>303438290</v>
      </c>
      <c r="I1344" s="2398">
        <f>I8+I745+I913+I925+I937+I954+I979+I1108+I1257</f>
        <v>129521089</v>
      </c>
      <c r="J1344" s="2399">
        <f>J8+J745+J913+J925+J937+J954+J979+J1108+J1257</f>
        <v>2150000</v>
      </c>
      <c r="K1344" s="2400"/>
    </row>
    <row r="1345" spans="1:11" s="2329" customFormat="1" ht="15" customHeight="1">
      <c r="A1345" s="3121"/>
      <c r="B1345" s="3121"/>
      <c r="C1345" s="3121"/>
      <c r="D1345" s="3121"/>
      <c r="E1345" s="3121"/>
      <c r="F1345" s="3121"/>
      <c r="G1345" s="3121"/>
      <c r="H1345" s="3121"/>
      <c r="I1345" s="3121"/>
      <c r="J1345" s="3121"/>
    </row>
    <row r="1346" spans="1:11">
      <c r="I1346" s="2"/>
    </row>
    <row r="1348" spans="1:11" ht="15" customHeight="1">
      <c r="D1348" s="3114"/>
      <c r="E1348" s="3114"/>
    </row>
    <row r="1349" spans="1:11">
      <c r="E1349" s="2401"/>
      <c r="F1349" s="2402"/>
      <c r="G1349" s="2402"/>
      <c r="H1349" s="2402"/>
      <c r="I1349" s="2402"/>
      <c r="J1349" s="2402"/>
      <c r="K1349" s="2400"/>
    </row>
    <row r="1350" spans="1:11">
      <c r="E1350" s="2403"/>
      <c r="F1350" s="2"/>
      <c r="G1350" s="2"/>
      <c r="H1350" s="2"/>
      <c r="I1350" s="2"/>
      <c r="J1350" s="2"/>
      <c r="K1350" s="2400"/>
    </row>
    <row r="1351" spans="1:11">
      <c r="E1351" s="2404"/>
      <c r="F1351" s="2"/>
      <c r="G1351" s="2"/>
      <c r="H1351" s="2"/>
      <c r="I1351" s="2"/>
      <c r="J1351" s="2"/>
      <c r="K1351" s="2400"/>
    </row>
    <row r="1352" spans="1:11">
      <c r="E1352" s="2403"/>
      <c r="F1352" s="2"/>
      <c r="G1352" s="2"/>
      <c r="H1352" s="2"/>
      <c r="I1352" s="2"/>
      <c r="J1352" s="2"/>
      <c r="K1352" s="2400"/>
    </row>
    <row r="1353" spans="1:11">
      <c r="E1353" s="2405"/>
      <c r="F1353" s="2402"/>
      <c r="G1353" s="2402"/>
      <c r="H1353" s="2402"/>
      <c r="I1353" s="2402"/>
      <c r="J1353" s="2402"/>
      <c r="K1353" s="2400"/>
    </row>
    <row r="1354" spans="1:11">
      <c r="E1354" s="114"/>
      <c r="F1354" s="2"/>
      <c r="G1354" s="2"/>
      <c r="H1354" s="2"/>
      <c r="I1354" s="2"/>
      <c r="J1354" s="2"/>
      <c r="K1354" s="2400"/>
    </row>
    <row r="1355" spans="1:11">
      <c r="E1355" s="114"/>
      <c r="F1355" s="2"/>
      <c r="G1355" s="2"/>
      <c r="H1355" s="2"/>
      <c r="I1355" s="2"/>
      <c r="J1355" s="2"/>
      <c r="K1355" s="2400"/>
    </row>
    <row r="1356" spans="1:11">
      <c r="E1356" s="2406"/>
      <c r="F1356" s="2407"/>
      <c r="G1356" s="2407"/>
      <c r="H1356" s="2407"/>
      <c r="I1356" s="2407"/>
      <c r="J1356" s="2407"/>
      <c r="K1356" s="2400"/>
    </row>
    <row r="1357" spans="1:11">
      <c r="E1357" s="2406"/>
      <c r="F1357" s="2"/>
      <c r="G1357" s="2"/>
      <c r="H1357" s="2"/>
      <c r="I1357" s="2"/>
      <c r="J1357" s="2"/>
    </row>
    <row r="1358" spans="1:11">
      <c r="E1358" s="2408"/>
      <c r="F1358" s="2"/>
      <c r="G1358" s="2"/>
      <c r="H1358" s="2"/>
      <c r="I1358" s="2"/>
      <c r="J1358" s="2"/>
    </row>
    <row r="1359" spans="1:11">
      <c r="E1359" s="2409"/>
      <c r="F1359" s="2"/>
      <c r="G1359" s="2"/>
      <c r="H1359" s="2"/>
      <c r="I1359" s="2"/>
      <c r="J1359" s="2"/>
    </row>
    <row r="1360" spans="1:11">
      <c r="E1360" s="2408"/>
      <c r="F1360" s="2"/>
      <c r="G1360" s="2"/>
      <c r="H1360" s="2"/>
      <c r="I1360" s="2"/>
      <c r="J1360" s="2"/>
    </row>
    <row r="1361" spans="5:10">
      <c r="E1361" s="2408"/>
      <c r="F1361" s="2"/>
      <c r="G1361" s="2"/>
      <c r="H1361" s="2"/>
      <c r="I1361" s="2"/>
      <c r="J1361" s="2"/>
    </row>
    <row r="1362" spans="5:10">
      <c r="E1362" s="2405"/>
      <c r="F1362" s="2402"/>
      <c r="G1362" s="2402"/>
      <c r="H1362" s="2402"/>
      <c r="I1362" s="2402"/>
      <c r="J1362" s="2402"/>
    </row>
    <row r="1363" spans="5:10">
      <c r="E1363" s="2406"/>
      <c r="F1363" s="2"/>
      <c r="G1363" s="2"/>
      <c r="H1363" s="2"/>
      <c r="I1363" s="2"/>
      <c r="J1363" s="2"/>
    </row>
    <row r="1364" spans="5:10">
      <c r="E1364" s="2409"/>
      <c r="F1364" s="2407"/>
      <c r="G1364" s="2407"/>
      <c r="H1364" s="2407"/>
      <c r="I1364" s="2407"/>
      <c r="J1364" s="2407"/>
    </row>
    <row r="1365" spans="5:10">
      <c r="F1365" s="2"/>
      <c r="G1365" s="2"/>
      <c r="H1365" s="2"/>
      <c r="I1365" s="2"/>
      <c r="J1365" s="2"/>
    </row>
    <row r="1366" spans="5:10">
      <c r="F1366" s="2"/>
    </row>
    <row r="1367" spans="5:10">
      <c r="F1367" s="2"/>
    </row>
    <row r="1368" spans="5:10">
      <c r="F1368" s="2"/>
    </row>
  </sheetData>
  <mergeCells count="301">
    <mergeCell ref="H1:J1"/>
    <mergeCell ref="A2:J2"/>
    <mergeCell ref="A4:J4"/>
    <mergeCell ref="A5:A6"/>
    <mergeCell ref="B5:B6"/>
    <mergeCell ref="C5:C6"/>
    <mergeCell ref="D5:D6"/>
    <mergeCell ref="E5:E6"/>
    <mergeCell ref="F5:F6"/>
    <mergeCell ref="G5:J5"/>
    <mergeCell ref="A22:A29"/>
    <mergeCell ref="B22:B29"/>
    <mergeCell ref="C22:D23"/>
    <mergeCell ref="A31:A49"/>
    <mergeCell ref="B31:B49"/>
    <mergeCell ref="C31:C49"/>
    <mergeCell ref="D31:D49"/>
    <mergeCell ref="B8:E8"/>
    <mergeCell ref="A9:J9"/>
    <mergeCell ref="A10:A21"/>
    <mergeCell ref="B10:B21"/>
    <mergeCell ref="C10:D15"/>
    <mergeCell ref="C16:C17"/>
    <mergeCell ref="C19:C21"/>
    <mergeCell ref="A79:A117"/>
    <mergeCell ref="B79:B117"/>
    <mergeCell ref="C79:C117"/>
    <mergeCell ref="D79:D117"/>
    <mergeCell ref="A118:A129"/>
    <mergeCell ref="B118:B129"/>
    <mergeCell ref="C118:C129"/>
    <mergeCell ref="D118:D129"/>
    <mergeCell ref="A50:A61"/>
    <mergeCell ref="B50:B61"/>
    <mergeCell ref="C50:C61"/>
    <mergeCell ref="D50:D61"/>
    <mergeCell ref="A63:A77"/>
    <mergeCell ref="B63:B77"/>
    <mergeCell ref="C63:C77"/>
    <mergeCell ref="D63:D77"/>
    <mergeCell ref="A162:A173"/>
    <mergeCell ref="B162:B173"/>
    <mergeCell ref="C162:C167"/>
    <mergeCell ref="D162:D167"/>
    <mergeCell ref="C168:C173"/>
    <mergeCell ref="D168:D173"/>
    <mergeCell ref="A130:A142"/>
    <mergeCell ref="B130:B142"/>
    <mergeCell ref="C130:C142"/>
    <mergeCell ref="D130:D142"/>
    <mergeCell ref="A143:A158"/>
    <mergeCell ref="B143:B158"/>
    <mergeCell ref="C143:C158"/>
    <mergeCell ref="D143:D158"/>
    <mergeCell ref="A206:A224"/>
    <mergeCell ref="B206:B224"/>
    <mergeCell ref="C206:C224"/>
    <mergeCell ref="D206:D224"/>
    <mergeCell ref="A225:A245"/>
    <mergeCell ref="B225:B245"/>
    <mergeCell ref="C225:C245"/>
    <mergeCell ref="D225:D245"/>
    <mergeCell ref="A174:A191"/>
    <mergeCell ref="B174:B191"/>
    <mergeCell ref="C174:C191"/>
    <mergeCell ref="D174:D191"/>
    <mergeCell ref="A192:A205"/>
    <mergeCell ref="B192:B205"/>
    <mergeCell ref="C192:C205"/>
    <mergeCell ref="D192:D205"/>
    <mergeCell ref="A294:A314"/>
    <mergeCell ref="B294:B314"/>
    <mergeCell ref="C294:C314"/>
    <mergeCell ref="D294:D314"/>
    <mergeCell ref="A317:A327"/>
    <mergeCell ref="B317:B327"/>
    <mergeCell ref="C317:C327"/>
    <mergeCell ref="D317:D327"/>
    <mergeCell ref="A248:A268"/>
    <mergeCell ref="B248:B268"/>
    <mergeCell ref="C248:C268"/>
    <mergeCell ref="D248:D268"/>
    <mergeCell ref="A271:A291"/>
    <mergeCell ref="B271:B291"/>
    <mergeCell ref="C271:C291"/>
    <mergeCell ref="D271:D291"/>
    <mergeCell ref="A381:A412"/>
    <mergeCell ref="B381:B412"/>
    <mergeCell ref="C381:C412"/>
    <mergeCell ref="D381:D412"/>
    <mergeCell ref="A415:A428"/>
    <mergeCell ref="B415:B428"/>
    <mergeCell ref="C415:C428"/>
    <mergeCell ref="D415:D428"/>
    <mergeCell ref="A328:A339"/>
    <mergeCell ref="B328:B339"/>
    <mergeCell ref="C328:C339"/>
    <mergeCell ref="D328:D339"/>
    <mergeCell ref="A340:A378"/>
    <mergeCell ref="B340:B378"/>
    <mergeCell ref="C340:C378"/>
    <mergeCell ref="D340:D378"/>
    <mergeCell ref="A471:A491"/>
    <mergeCell ref="B471:B491"/>
    <mergeCell ref="C471:C491"/>
    <mergeCell ref="D471:D491"/>
    <mergeCell ref="A494:A514"/>
    <mergeCell ref="B494:B514"/>
    <mergeCell ref="C494:C514"/>
    <mergeCell ref="D494:D514"/>
    <mergeCell ref="A429:A445"/>
    <mergeCell ref="B429:B445"/>
    <mergeCell ref="C429:C445"/>
    <mergeCell ref="D429:D445"/>
    <mergeCell ref="A446:A468"/>
    <mergeCell ref="B446:B468"/>
    <mergeCell ref="C446:C468"/>
    <mergeCell ref="D446:D468"/>
    <mergeCell ref="A560:A578"/>
    <mergeCell ref="B560:B578"/>
    <mergeCell ref="C560:C578"/>
    <mergeCell ref="D560:D578"/>
    <mergeCell ref="A581:A601"/>
    <mergeCell ref="B581:B601"/>
    <mergeCell ref="C581:C601"/>
    <mergeCell ref="D581:D601"/>
    <mergeCell ref="A517:A538"/>
    <mergeCell ref="B517:B538"/>
    <mergeCell ref="C517:C538"/>
    <mergeCell ref="D517:D538"/>
    <mergeCell ref="A540:A557"/>
    <mergeCell ref="B540:B557"/>
    <mergeCell ref="C540:C557"/>
    <mergeCell ref="D540:D557"/>
    <mergeCell ref="A664:A692"/>
    <mergeCell ref="B664:B692"/>
    <mergeCell ref="C664:C692"/>
    <mergeCell ref="D664:D692"/>
    <mergeCell ref="A695:A720"/>
    <mergeCell ref="B695:B720"/>
    <mergeCell ref="C695:C720"/>
    <mergeCell ref="D695:D720"/>
    <mergeCell ref="A604:A635"/>
    <mergeCell ref="B604:B635"/>
    <mergeCell ref="C604:C635"/>
    <mergeCell ref="D604:D635"/>
    <mergeCell ref="A642:A661"/>
    <mergeCell ref="B642:B661"/>
    <mergeCell ref="C642:C661"/>
    <mergeCell ref="D642:D661"/>
    <mergeCell ref="A747:A761"/>
    <mergeCell ref="B747:B761"/>
    <mergeCell ref="C747:C761"/>
    <mergeCell ref="D747:D761"/>
    <mergeCell ref="A762:A776"/>
    <mergeCell ref="B762:B776"/>
    <mergeCell ref="C762:C776"/>
    <mergeCell ref="D762:D776"/>
    <mergeCell ref="A721:A742"/>
    <mergeCell ref="B721:B742"/>
    <mergeCell ref="C721:C742"/>
    <mergeCell ref="D721:D742"/>
    <mergeCell ref="B745:E745"/>
    <mergeCell ref="A746:J746"/>
    <mergeCell ref="A807:A821"/>
    <mergeCell ref="B807:B821"/>
    <mergeCell ref="C807:C821"/>
    <mergeCell ref="D807:D821"/>
    <mergeCell ref="A822:A836"/>
    <mergeCell ref="B822:B836"/>
    <mergeCell ref="C822:C836"/>
    <mergeCell ref="D822:D836"/>
    <mergeCell ref="A777:A791"/>
    <mergeCell ref="B777:B791"/>
    <mergeCell ref="C777:C791"/>
    <mergeCell ref="D777:D791"/>
    <mergeCell ref="A792:A806"/>
    <mergeCell ref="B792:B806"/>
    <mergeCell ref="C792:C806"/>
    <mergeCell ref="D792:D806"/>
    <mergeCell ref="A867:A881"/>
    <mergeCell ref="B867:B881"/>
    <mergeCell ref="C867:C881"/>
    <mergeCell ref="D867:D881"/>
    <mergeCell ref="A882:A897"/>
    <mergeCell ref="B882:B897"/>
    <mergeCell ref="C882:C897"/>
    <mergeCell ref="D882:D897"/>
    <mergeCell ref="A837:A851"/>
    <mergeCell ref="B837:B851"/>
    <mergeCell ref="C837:C851"/>
    <mergeCell ref="D837:D851"/>
    <mergeCell ref="A852:A866"/>
    <mergeCell ref="B852:B866"/>
    <mergeCell ref="C852:C866"/>
    <mergeCell ref="D852:D866"/>
    <mergeCell ref="A915:A923"/>
    <mergeCell ref="B915:B923"/>
    <mergeCell ref="C915:C923"/>
    <mergeCell ref="D915:D923"/>
    <mergeCell ref="B925:E925"/>
    <mergeCell ref="A926:J926"/>
    <mergeCell ref="A898:A912"/>
    <mergeCell ref="B898:B912"/>
    <mergeCell ref="C898:C912"/>
    <mergeCell ref="D898:D912"/>
    <mergeCell ref="B913:E913"/>
    <mergeCell ref="A914:J914"/>
    <mergeCell ref="A939:A953"/>
    <mergeCell ref="B939:B953"/>
    <mergeCell ref="C939:C949"/>
    <mergeCell ref="D939:D949"/>
    <mergeCell ref="C950:C953"/>
    <mergeCell ref="D950:D953"/>
    <mergeCell ref="A927:A935"/>
    <mergeCell ref="B927:B935"/>
    <mergeCell ref="C927:C935"/>
    <mergeCell ref="D927:D935"/>
    <mergeCell ref="B937:E937"/>
    <mergeCell ref="A938:J938"/>
    <mergeCell ref="B979:E979"/>
    <mergeCell ref="A980:J980"/>
    <mergeCell ref="A981:A988"/>
    <mergeCell ref="B981:B988"/>
    <mergeCell ref="C981:D982"/>
    <mergeCell ref="C983:C985"/>
    <mergeCell ref="D983:D985"/>
    <mergeCell ref="C986:D986"/>
    <mergeCell ref="B954:E954"/>
    <mergeCell ref="A955:J955"/>
    <mergeCell ref="A956:A976"/>
    <mergeCell ref="B956:B976"/>
    <mergeCell ref="C956:C976"/>
    <mergeCell ref="D956:D976"/>
    <mergeCell ref="A1016:A1059"/>
    <mergeCell ref="B1016:B1059"/>
    <mergeCell ref="C1016:C1059"/>
    <mergeCell ref="D1016:D1059"/>
    <mergeCell ref="A1062:A1105"/>
    <mergeCell ref="B1062:B1105"/>
    <mergeCell ref="C1062:C1105"/>
    <mergeCell ref="D1062:D1105"/>
    <mergeCell ref="D1003:D1006"/>
    <mergeCell ref="C1007:D1007"/>
    <mergeCell ref="C1008:C1010"/>
    <mergeCell ref="D1008:D1010"/>
    <mergeCell ref="C1011:C1014"/>
    <mergeCell ref="D1011:D1014"/>
    <mergeCell ref="A989:A1015"/>
    <mergeCell ref="B989:B1015"/>
    <mergeCell ref="C989:D990"/>
    <mergeCell ref="C991:C994"/>
    <mergeCell ref="D991:D994"/>
    <mergeCell ref="C995:C998"/>
    <mergeCell ref="D995:D998"/>
    <mergeCell ref="C999:C1002"/>
    <mergeCell ref="D999:D1002"/>
    <mergeCell ref="C1003:C1006"/>
    <mergeCell ref="A1122:A1138"/>
    <mergeCell ref="B1122:B1138"/>
    <mergeCell ref="C1122:C1138"/>
    <mergeCell ref="D1122:D1138"/>
    <mergeCell ref="A1141:A1166"/>
    <mergeCell ref="B1141:B1166"/>
    <mergeCell ref="C1141:C1166"/>
    <mergeCell ref="D1141:D1166"/>
    <mergeCell ref="B1108:E1108"/>
    <mergeCell ref="A1109:J1109"/>
    <mergeCell ref="A1110:A1119"/>
    <mergeCell ref="B1110:B1119"/>
    <mergeCell ref="C1110:C1119"/>
    <mergeCell ref="D1110:D1119"/>
    <mergeCell ref="A1234:A1256"/>
    <mergeCell ref="B1234:B1256"/>
    <mergeCell ref="C1234:C1256"/>
    <mergeCell ref="D1234:D1256"/>
    <mergeCell ref="B1257:E1257"/>
    <mergeCell ref="A1258:J1258"/>
    <mergeCell ref="A1167:A1187"/>
    <mergeCell ref="B1167:B1187"/>
    <mergeCell ref="C1167:C1187"/>
    <mergeCell ref="D1167:D1187"/>
    <mergeCell ref="A1190:A1231"/>
    <mergeCell ref="B1190:B1231"/>
    <mergeCell ref="C1190:C1231"/>
    <mergeCell ref="D1190:D1231"/>
    <mergeCell ref="D1348:E1348"/>
    <mergeCell ref="A1315:A1341"/>
    <mergeCell ref="B1315:B1341"/>
    <mergeCell ref="C1315:C1341"/>
    <mergeCell ref="D1315:D1341"/>
    <mergeCell ref="A1344:E1344"/>
    <mergeCell ref="A1345:J1345"/>
    <mergeCell ref="A1259:A1284"/>
    <mergeCell ref="B1259:B1284"/>
    <mergeCell ref="C1259:C1284"/>
    <mergeCell ref="D1259:D1284"/>
    <mergeCell ref="A1287:A1312"/>
    <mergeCell ref="B1287:B1312"/>
    <mergeCell ref="C1287:C1312"/>
    <mergeCell ref="D1287:D13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7" manualBreakCount="17">
    <brk id="30" max="9" man="1"/>
    <brk id="161" max="9" man="1"/>
    <brk id="205" max="9" man="1"/>
    <brk id="339" max="9" man="1"/>
    <brk id="380" max="9" man="1"/>
    <brk id="428" max="9" man="1"/>
    <brk id="468" max="9" man="1"/>
    <brk id="641" max="9" man="1"/>
    <brk id="663" max="9" man="1"/>
    <brk id="692" max="9" man="1"/>
    <brk id="936" max="9" man="1"/>
    <brk id="978" max="9" man="1"/>
    <brk id="1015" max="9" man="1"/>
    <brk id="1140" max="9" man="1"/>
    <brk id="1166" max="9" man="1"/>
    <brk id="1187" max="9" man="1"/>
    <brk id="1344" max="9" man="1"/>
  </rowBreaks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64"/>
  <sheetViews>
    <sheetView view="pageBreakPreview" topLeftCell="A35" zoomScaleNormal="100" zoomScaleSheetLayoutView="100" workbookViewId="0">
      <selection activeCell="J5" sqref="J5"/>
    </sheetView>
  </sheetViews>
  <sheetFormatPr defaultRowHeight="12.75"/>
  <cols>
    <col min="1" max="1" width="5.140625" style="1" customWidth="1"/>
    <col min="2" max="2" width="51.5703125" style="1" customWidth="1"/>
    <col min="3" max="3" width="7.140625" style="1" customWidth="1"/>
    <col min="4" max="4" width="10.140625" style="1" customWidth="1"/>
    <col min="5" max="5" width="11.28515625" style="1" customWidth="1"/>
    <col min="6" max="6" width="13.7109375" style="1" customWidth="1"/>
    <col min="7" max="7" width="10.140625" style="1" bestFit="1" customWidth="1"/>
    <col min="8" max="8" width="11.140625" style="1" bestFit="1" customWidth="1"/>
    <col min="9" max="9" width="10.140625" style="1" bestFit="1" customWidth="1"/>
    <col min="10" max="256" width="9.140625" style="1"/>
    <col min="257" max="257" width="5.140625" style="1" customWidth="1"/>
    <col min="258" max="258" width="46.85546875" style="1" customWidth="1"/>
    <col min="259" max="259" width="7.140625" style="1" customWidth="1"/>
    <col min="260" max="260" width="10.140625" style="1" customWidth="1"/>
    <col min="261" max="261" width="11.28515625" style="1" customWidth="1"/>
    <col min="262" max="262" width="13.7109375" style="1" customWidth="1"/>
    <col min="263" max="512" width="9.140625" style="1"/>
    <col min="513" max="513" width="5.140625" style="1" customWidth="1"/>
    <col min="514" max="514" width="46.85546875" style="1" customWidth="1"/>
    <col min="515" max="515" width="7.140625" style="1" customWidth="1"/>
    <col min="516" max="516" width="10.140625" style="1" customWidth="1"/>
    <col min="517" max="517" width="11.28515625" style="1" customWidth="1"/>
    <col min="518" max="518" width="13.7109375" style="1" customWidth="1"/>
    <col min="519" max="768" width="9.140625" style="1"/>
    <col min="769" max="769" width="5.140625" style="1" customWidth="1"/>
    <col min="770" max="770" width="46.85546875" style="1" customWidth="1"/>
    <col min="771" max="771" width="7.140625" style="1" customWidth="1"/>
    <col min="772" max="772" width="10.140625" style="1" customWidth="1"/>
    <col min="773" max="773" width="11.28515625" style="1" customWidth="1"/>
    <col min="774" max="774" width="13.7109375" style="1" customWidth="1"/>
    <col min="775" max="1024" width="9.140625" style="1"/>
    <col min="1025" max="1025" width="5.140625" style="1" customWidth="1"/>
    <col min="1026" max="1026" width="46.85546875" style="1" customWidth="1"/>
    <col min="1027" max="1027" width="7.140625" style="1" customWidth="1"/>
    <col min="1028" max="1028" width="10.140625" style="1" customWidth="1"/>
    <col min="1029" max="1029" width="11.28515625" style="1" customWidth="1"/>
    <col min="1030" max="1030" width="13.7109375" style="1" customWidth="1"/>
    <col min="1031" max="1280" width="9.140625" style="1"/>
    <col min="1281" max="1281" width="5.140625" style="1" customWidth="1"/>
    <col min="1282" max="1282" width="46.85546875" style="1" customWidth="1"/>
    <col min="1283" max="1283" width="7.140625" style="1" customWidth="1"/>
    <col min="1284" max="1284" width="10.140625" style="1" customWidth="1"/>
    <col min="1285" max="1285" width="11.28515625" style="1" customWidth="1"/>
    <col min="1286" max="1286" width="13.7109375" style="1" customWidth="1"/>
    <col min="1287" max="1536" width="9.140625" style="1"/>
    <col min="1537" max="1537" width="5.140625" style="1" customWidth="1"/>
    <col min="1538" max="1538" width="46.85546875" style="1" customWidth="1"/>
    <col min="1539" max="1539" width="7.140625" style="1" customWidth="1"/>
    <col min="1540" max="1540" width="10.140625" style="1" customWidth="1"/>
    <col min="1541" max="1541" width="11.28515625" style="1" customWidth="1"/>
    <col min="1542" max="1542" width="13.7109375" style="1" customWidth="1"/>
    <col min="1543" max="1792" width="9.140625" style="1"/>
    <col min="1793" max="1793" width="5.140625" style="1" customWidth="1"/>
    <col min="1794" max="1794" width="46.85546875" style="1" customWidth="1"/>
    <col min="1795" max="1795" width="7.140625" style="1" customWidth="1"/>
    <col min="1796" max="1796" width="10.140625" style="1" customWidth="1"/>
    <col min="1797" max="1797" width="11.28515625" style="1" customWidth="1"/>
    <col min="1798" max="1798" width="13.7109375" style="1" customWidth="1"/>
    <col min="1799" max="2048" width="9.140625" style="1"/>
    <col min="2049" max="2049" width="5.140625" style="1" customWidth="1"/>
    <col min="2050" max="2050" width="46.85546875" style="1" customWidth="1"/>
    <col min="2051" max="2051" width="7.140625" style="1" customWidth="1"/>
    <col min="2052" max="2052" width="10.140625" style="1" customWidth="1"/>
    <col min="2053" max="2053" width="11.28515625" style="1" customWidth="1"/>
    <col min="2054" max="2054" width="13.7109375" style="1" customWidth="1"/>
    <col min="2055" max="2304" width="9.140625" style="1"/>
    <col min="2305" max="2305" width="5.140625" style="1" customWidth="1"/>
    <col min="2306" max="2306" width="46.85546875" style="1" customWidth="1"/>
    <col min="2307" max="2307" width="7.140625" style="1" customWidth="1"/>
    <col min="2308" max="2308" width="10.140625" style="1" customWidth="1"/>
    <col min="2309" max="2309" width="11.28515625" style="1" customWidth="1"/>
    <col min="2310" max="2310" width="13.7109375" style="1" customWidth="1"/>
    <col min="2311" max="2560" width="9.140625" style="1"/>
    <col min="2561" max="2561" width="5.140625" style="1" customWidth="1"/>
    <col min="2562" max="2562" width="46.85546875" style="1" customWidth="1"/>
    <col min="2563" max="2563" width="7.140625" style="1" customWidth="1"/>
    <col min="2564" max="2564" width="10.140625" style="1" customWidth="1"/>
    <col min="2565" max="2565" width="11.28515625" style="1" customWidth="1"/>
    <col min="2566" max="2566" width="13.7109375" style="1" customWidth="1"/>
    <col min="2567" max="2816" width="9.140625" style="1"/>
    <col min="2817" max="2817" width="5.140625" style="1" customWidth="1"/>
    <col min="2818" max="2818" width="46.85546875" style="1" customWidth="1"/>
    <col min="2819" max="2819" width="7.140625" style="1" customWidth="1"/>
    <col min="2820" max="2820" width="10.140625" style="1" customWidth="1"/>
    <col min="2821" max="2821" width="11.28515625" style="1" customWidth="1"/>
    <col min="2822" max="2822" width="13.7109375" style="1" customWidth="1"/>
    <col min="2823" max="3072" width="9.140625" style="1"/>
    <col min="3073" max="3073" width="5.140625" style="1" customWidth="1"/>
    <col min="3074" max="3074" width="46.85546875" style="1" customWidth="1"/>
    <col min="3075" max="3075" width="7.140625" style="1" customWidth="1"/>
    <col min="3076" max="3076" width="10.140625" style="1" customWidth="1"/>
    <col min="3077" max="3077" width="11.28515625" style="1" customWidth="1"/>
    <col min="3078" max="3078" width="13.7109375" style="1" customWidth="1"/>
    <col min="3079" max="3328" width="9.140625" style="1"/>
    <col min="3329" max="3329" width="5.140625" style="1" customWidth="1"/>
    <col min="3330" max="3330" width="46.85546875" style="1" customWidth="1"/>
    <col min="3331" max="3331" width="7.140625" style="1" customWidth="1"/>
    <col min="3332" max="3332" width="10.140625" style="1" customWidth="1"/>
    <col min="3333" max="3333" width="11.28515625" style="1" customWidth="1"/>
    <col min="3334" max="3334" width="13.7109375" style="1" customWidth="1"/>
    <col min="3335" max="3584" width="9.140625" style="1"/>
    <col min="3585" max="3585" width="5.140625" style="1" customWidth="1"/>
    <col min="3586" max="3586" width="46.85546875" style="1" customWidth="1"/>
    <col min="3587" max="3587" width="7.140625" style="1" customWidth="1"/>
    <col min="3588" max="3588" width="10.140625" style="1" customWidth="1"/>
    <col min="3589" max="3589" width="11.28515625" style="1" customWidth="1"/>
    <col min="3590" max="3590" width="13.7109375" style="1" customWidth="1"/>
    <col min="3591" max="3840" width="9.140625" style="1"/>
    <col min="3841" max="3841" width="5.140625" style="1" customWidth="1"/>
    <col min="3842" max="3842" width="46.85546875" style="1" customWidth="1"/>
    <col min="3843" max="3843" width="7.140625" style="1" customWidth="1"/>
    <col min="3844" max="3844" width="10.140625" style="1" customWidth="1"/>
    <col min="3845" max="3845" width="11.28515625" style="1" customWidth="1"/>
    <col min="3846" max="3846" width="13.7109375" style="1" customWidth="1"/>
    <col min="3847" max="4096" width="9.140625" style="1"/>
    <col min="4097" max="4097" width="5.140625" style="1" customWidth="1"/>
    <col min="4098" max="4098" width="46.85546875" style="1" customWidth="1"/>
    <col min="4099" max="4099" width="7.140625" style="1" customWidth="1"/>
    <col min="4100" max="4100" width="10.140625" style="1" customWidth="1"/>
    <col min="4101" max="4101" width="11.28515625" style="1" customWidth="1"/>
    <col min="4102" max="4102" width="13.7109375" style="1" customWidth="1"/>
    <col min="4103" max="4352" width="9.140625" style="1"/>
    <col min="4353" max="4353" width="5.140625" style="1" customWidth="1"/>
    <col min="4354" max="4354" width="46.85546875" style="1" customWidth="1"/>
    <col min="4355" max="4355" width="7.140625" style="1" customWidth="1"/>
    <col min="4356" max="4356" width="10.140625" style="1" customWidth="1"/>
    <col min="4357" max="4357" width="11.28515625" style="1" customWidth="1"/>
    <col min="4358" max="4358" width="13.7109375" style="1" customWidth="1"/>
    <col min="4359" max="4608" width="9.140625" style="1"/>
    <col min="4609" max="4609" width="5.140625" style="1" customWidth="1"/>
    <col min="4610" max="4610" width="46.85546875" style="1" customWidth="1"/>
    <col min="4611" max="4611" width="7.140625" style="1" customWidth="1"/>
    <col min="4612" max="4612" width="10.140625" style="1" customWidth="1"/>
    <col min="4613" max="4613" width="11.28515625" style="1" customWidth="1"/>
    <col min="4614" max="4614" width="13.7109375" style="1" customWidth="1"/>
    <col min="4615" max="4864" width="9.140625" style="1"/>
    <col min="4865" max="4865" width="5.140625" style="1" customWidth="1"/>
    <col min="4866" max="4866" width="46.85546875" style="1" customWidth="1"/>
    <col min="4867" max="4867" width="7.140625" style="1" customWidth="1"/>
    <col min="4868" max="4868" width="10.140625" style="1" customWidth="1"/>
    <col min="4869" max="4869" width="11.28515625" style="1" customWidth="1"/>
    <col min="4870" max="4870" width="13.7109375" style="1" customWidth="1"/>
    <col min="4871" max="5120" width="9.140625" style="1"/>
    <col min="5121" max="5121" width="5.140625" style="1" customWidth="1"/>
    <col min="5122" max="5122" width="46.85546875" style="1" customWidth="1"/>
    <col min="5123" max="5123" width="7.140625" style="1" customWidth="1"/>
    <col min="5124" max="5124" width="10.140625" style="1" customWidth="1"/>
    <col min="5125" max="5125" width="11.28515625" style="1" customWidth="1"/>
    <col min="5126" max="5126" width="13.7109375" style="1" customWidth="1"/>
    <col min="5127" max="5376" width="9.140625" style="1"/>
    <col min="5377" max="5377" width="5.140625" style="1" customWidth="1"/>
    <col min="5378" max="5378" width="46.85546875" style="1" customWidth="1"/>
    <col min="5379" max="5379" width="7.140625" style="1" customWidth="1"/>
    <col min="5380" max="5380" width="10.140625" style="1" customWidth="1"/>
    <col min="5381" max="5381" width="11.28515625" style="1" customWidth="1"/>
    <col min="5382" max="5382" width="13.7109375" style="1" customWidth="1"/>
    <col min="5383" max="5632" width="9.140625" style="1"/>
    <col min="5633" max="5633" width="5.140625" style="1" customWidth="1"/>
    <col min="5634" max="5634" width="46.85546875" style="1" customWidth="1"/>
    <col min="5635" max="5635" width="7.140625" style="1" customWidth="1"/>
    <col min="5636" max="5636" width="10.140625" style="1" customWidth="1"/>
    <col min="5637" max="5637" width="11.28515625" style="1" customWidth="1"/>
    <col min="5638" max="5638" width="13.7109375" style="1" customWidth="1"/>
    <col min="5639" max="5888" width="9.140625" style="1"/>
    <col min="5889" max="5889" width="5.140625" style="1" customWidth="1"/>
    <col min="5890" max="5890" width="46.85546875" style="1" customWidth="1"/>
    <col min="5891" max="5891" width="7.140625" style="1" customWidth="1"/>
    <col min="5892" max="5892" width="10.140625" style="1" customWidth="1"/>
    <col min="5893" max="5893" width="11.28515625" style="1" customWidth="1"/>
    <col min="5894" max="5894" width="13.7109375" style="1" customWidth="1"/>
    <col min="5895" max="6144" width="9.140625" style="1"/>
    <col min="6145" max="6145" width="5.140625" style="1" customWidth="1"/>
    <col min="6146" max="6146" width="46.85546875" style="1" customWidth="1"/>
    <col min="6147" max="6147" width="7.140625" style="1" customWidth="1"/>
    <col min="6148" max="6148" width="10.140625" style="1" customWidth="1"/>
    <col min="6149" max="6149" width="11.28515625" style="1" customWidth="1"/>
    <col min="6150" max="6150" width="13.7109375" style="1" customWidth="1"/>
    <col min="6151" max="6400" width="9.140625" style="1"/>
    <col min="6401" max="6401" width="5.140625" style="1" customWidth="1"/>
    <col min="6402" max="6402" width="46.85546875" style="1" customWidth="1"/>
    <col min="6403" max="6403" width="7.140625" style="1" customWidth="1"/>
    <col min="6404" max="6404" width="10.140625" style="1" customWidth="1"/>
    <col min="6405" max="6405" width="11.28515625" style="1" customWidth="1"/>
    <col min="6406" max="6406" width="13.7109375" style="1" customWidth="1"/>
    <col min="6407" max="6656" width="9.140625" style="1"/>
    <col min="6657" max="6657" width="5.140625" style="1" customWidth="1"/>
    <col min="6658" max="6658" width="46.85546875" style="1" customWidth="1"/>
    <col min="6659" max="6659" width="7.140625" style="1" customWidth="1"/>
    <col min="6660" max="6660" width="10.140625" style="1" customWidth="1"/>
    <col min="6661" max="6661" width="11.28515625" style="1" customWidth="1"/>
    <col min="6662" max="6662" width="13.7109375" style="1" customWidth="1"/>
    <col min="6663" max="6912" width="9.140625" style="1"/>
    <col min="6913" max="6913" width="5.140625" style="1" customWidth="1"/>
    <col min="6914" max="6914" width="46.85546875" style="1" customWidth="1"/>
    <col min="6915" max="6915" width="7.140625" style="1" customWidth="1"/>
    <col min="6916" max="6916" width="10.140625" style="1" customWidth="1"/>
    <col min="6917" max="6917" width="11.28515625" style="1" customWidth="1"/>
    <col min="6918" max="6918" width="13.7109375" style="1" customWidth="1"/>
    <col min="6919" max="7168" width="9.140625" style="1"/>
    <col min="7169" max="7169" width="5.140625" style="1" customWidth="1"/>
    <col min="7170" max="7170" width="46.85546875" style="1" customWidth="1"/>
    <col min="7171" max="7171" width="7.140625" style="1" customWidth="1"/>
    <col min="7172" max="7172" width="10.140625" style="1" customWidth="1"/>
    <col min="7173" max="7173" width="11.28515625" style="1" customWidth="1"/>
    <col min="7174" max="7174" width="13.7109375" style="1" customWidth="1"/>
    <col min="7175" max="7424" width="9.140625" style="1"/>
    <col min="7425" max="7425" width="5.140625" style="1" customWidth="1"/>
    <col min="7426" max="7426" width="46.85546875" style="1" customWidth="1"/>
    <col min="7427" max="7427" width="7.140625" style="1" customWidth="1"/>
    <col min="7428" max="7428" width="10.140625" style="1" customWidth="1"/>
    <col min="7429" max="7429" width="11.28515625" style="1" customWidth="1"/>
    <col min="7430" max="7430" width="13.7109375" style="1" customWidth="1"/>
    <col min="7431" max="7680" width="9.140625" style="1"/>
    <col min="7681" max="7681" width="5.140625" style="1" customWidth="1"/>
    <col min="7682" max="7682" width="46.85546875" style="1" customWidth="1"/>
    <col min="7683" max="7683" width="7.140625" style="1" customWidth="1"/>
    <col min="7684" max="7684" width="10.140625" style="1" customWidth="1"/>
    <col min="7685" max="7685" width="11.28515625" style="1" customWidth="1"/>
    <col min="7686" max="7686" width="13.7109375" style="1" customWidth="1"/>
    <col min="7687" max="7936" width="9.140625" style="1"/>
    <col min="7937" max="7937" width="5.140625" style="1" customWidth="1"/>
    <col min="7938" max="7938" width="46.85546875" style="1" customWidth="1"/>
    <col min="7939" max="7939" width="7.140625" style="1" customWidth="1"/>
    <col min="7940" max="7940" width="10.140625" style="1" customWidth="1"/>
    <col min="7941" max="7941" width="11.28515625" style="1" customWidth="1"/>
    <col min="7942" max="7942" width="13.7109375" style="1" customWidth="1"/>
    <col min="7943" max="8192" width="9.140625" style="1"/>
    <col min="8193" max="8193" width="5.140625" style="1" customWidth="1"/>
    <col min="8194" max="8194" width="46.85546875" style="1" customWidth="1"/>
    <col min="8195" max="8195" width="7.140625" style="1" customWidth="1"/>
    <col min="8196" max="8196" width="10.140625" style="1" customWidth="1"/>
    <col min="8197" max="8197" width="11.28515625" style="1" customWidth="1"/>
    <col min="8198" max="8198" width="13.7109375" style="1" customWidth="1"/>
    <col min="8199" max="8448" width="9.140625" style="1"/>
    <col min="8449" max="8449" width="5.140625" style="1" customWidth="1"/>
    <col min="8450" max="8450" width="46.85546875" style="1" customWidth="1"/>
    <col min="8451" max="8451" width="7.140625" style="1" customWidth="1"/>
    <col min="8452" max="8452" width="10.140625" style="1" customWidth="1"/>
    <col min="8453" max="8453" width="11.28515625" style="1" customWidth="1"/>
    <col min="8454" max="8454" width="13.7109375" style="1" customWidth="1"/>
    <col min="8455" max="8704" width="9.140625" style="1"/>
    <col min="8705" max="8705" width="5.140625" style="1" customWidth="1"/>
    <col min="8706" max="8706" width="46.85546875" style="1" customWidth="1"/>
    <col min="8707" max="8707" width="7.140625" style="1" customWidth="1"/>
    <col min="8708" max="8708" width="10.140625" style="1" customWidth="1"/>
    <col min="8709" max="8709" width="11.28515625" style="1" customWidth="1"/>
    <col min="8710" max="8710" width="13.7109375" style="1" customWidth="1"/>
    <col min="8711" max="8960" width="9.140625" style="1"/>
    <col min="8961" max="8961" width="5.140625" style="1" customWidth="1"/>
    <col min="8962" max="8962" width="46.85546875" style="1" customWidth="1"/>
    <col min="8963" max="8963" width="7.140625" style="1" customWidth="1"/>
    <col min="8964" max="8964" width="10.140625" style="1" customWidth="1"/>
    <col min="8965" max="8965" width="11.28515625" style="1" customWidth="1"/>
    <col min="8966" max="8966" width="13.7109375" style="1" customWidth="1"/>
    <col min="8967" max="9216" width="9.140625" style="1"/>
    <col min="9217" max="9217" width="5.140625" style="1" customWidth="1"/>
    <col min="9218" max="9218" width="46.85546875" style="1" customWidth="1"/>
    <col min="9219" max="9219" width="7.140625" style="1" customWidth="1"/>
    <col min="9220" max="9220" width="10.140625" style="1" customWidth="1"/>
    <col min="9221" max="9221" width="11.28515625" style="1" customWidth="1"/>
    <col min="9222" max="9222" width="13.7109375" style="1" customWidth="1"/>
    <col min="9223" max="9472" width="9.140625" style="1"/>
    <col min="9473" max="9473" width="5.140625" style="1" customWidth="1"/>
    <col min="9474" max="9474" width="46.85546875" style="1" customWidth="1"/>
    <col min="9475" max="9475" width="7.140625" style="1" customWidth="1"/>
    <col min="9476" max="9476" width="10.140625" style="1" customWidth="1"/>
    <col min="9477" max="9477" width="11.28515625" style="1" customWidth="1"/>
    <col min="9478" max="9478" width="13.7109375" style="1" customWidth="1"/>
    <col min="9479" max="9728" width="9.140625" style="1"/>
    <col min="9729" max="9729" width="5.140625" style="1" customWidth="1"/>
    <col min="9730" max="9730" width="46.85546875" style="1" customWidth="1"/>
    <col min="9731" max="9731" width="7.140625" style="1" customWidth="1"/>
    <col min="9732" max="9732" width="10.140625" style="1" customWidth="1"/>
    <col min="9733" max="9733" width="11.28515625" style="1" customWidth="1"/>
    <col min="9734" max="9734" width="13.7109375" style="1" customWidth="1"/>
    <col min="9735" max="9984" width="9.140625" style="1"/>
    <col min="9985" max="9985" width="5.140625" style="1" customWidth="1"/>
    <col min="9986" max="9986" width="46.85546875" style="1" customWidth="1"/>
    <col min="9987" max="9987" width="7.140625" style="1" customWidth="1"/>
    <col min="9988" max="9988" width="10.140625" style="1" customWidth="1"/>
    <col min="9989" max="9989" width="11.28515625" style="1" customWidth="1"/>
    <col min="9990" max="9990" width="13.7109375" style="1" customWidth="1"/>
    <col min="9991" max="10240" width="9.140625" style="1"/>
    <col min="10241" max="10241" width="5.140625" style="1" customWidth="1"/>
    <col min="10242" max="10242" width="46.85546875" style="1" customWidth="1"/>
    <col min="10243" max="10243" width="7.140625" style="1" customWidth="1"/>
    <col min="10244" max="10244" width="10.140625" style="1" customWidth="1"/>
    <col min="10245" max="10245" width="11.28515625" style="1" customWidth="1"/>
    <col min="10246" max="10246" width="13.7109375" style="1" customWidth="1"/>
    <col min="10247" max="10496" width="9.140625" style="1"/>
    <col min="10497" max="10497" width="5.140625" style="1" customWidth="1"/>
    <col min="10498" max="10498" width="46.85546875" style="1" customWidth="1"/>
    <col min="10499" max="10499" width="7.140625" style="1" customWidth="1"/>
    <col min="10500" max="10500" width="10.140625" style="1" customWidth="1"/>
    <col min="10501" max="10501" width="11.28515625" style="1" customWidth="1"/>
    <col min="10502" max="10502" width="13.7109375" style="1" customWidth="1"/>
    <col min="10503" max="10752" width="9.140625" style="1"/>
    <col min="10753" max="10753" width="5.140625" style="1" customWidth="1"/>
    <col min="10754" max="10754" width="46.85546875" style="1" customWidth="1"/>
    <col min="10755" max="10755" width="7.140625" style="1" customWidth="1"/>
    <col min="10756" max="10756" width="10.140625" style="1" customWidth="1"/>
    <col min="10757" max="10757" width="11.28515625" style="1" customWidth="1"/>
    <col min="10758" max="10758" width="13.7109375" style="1" customWidth="1"/>
    <col min="10759" max="11008" width="9.140625" style="1"/>
    <col min="11009" max="11009" width="5.140625" style="1" customWidth="1"/>
    <col min="11010" max="11010" width="46.85546875" style="1" customWidth="1"/>
    <col min="11011" max="11011" width="7.140625" style="1" customWidth="1"/>
    <col min="11012" max="11012" width="10.140625" style="1" customWidth="1"/>
    <col min="11013" max="11013" width="11.28515625" style="1" customWidth="1"/>
    <col min="11014" max="11014" width="13.7109375" style="1" customWidth="1"/>
    <col min="11015" max="11264" width="9.140625" style="1"/>
    <col min="11265" max="11265" width="5.140625" style="1" customWidth="1"/>
    <col min="11266" max="11266" width="46.85546875" style="1" customWidth="1"/>
    <col min="11267" max="11267" width="7.140625" style="1" customWidth="1"/>
    <col min="11268" max="11268" width="10.140625" style="1" customWidth="1"/>
    <col min="11269" max="11269" width="11.28515625" style="1" customWidth="1"/>
    <col min="11270" max="11270" width="13.7109375" style="1" customWidth="1"/>
    <col min="11271" max="11520" width="9.140625" style="1"/>
    <col min="11521" max="11521" width="5.140625" style="1" customWidth="1"/>
    <col min="11522" max="11522" width="46.85546875" style="1" customWidth="1"/>
    <col min="11523" max="11523" width="7.140625" style="1" customWidth="1"/>
    <col min="11524" max="11524" width="10.140625" style="1" customWidth="1"/>
    <col min="11525" max="11525" width="11.28515625" style="1" customWidth="1"/>
    <col min="11526" max="11526" width="13.7109375" style="1" customWidth="1"/>
    <col min="11527" max="11776" width="9.140625" style="1"/>
    <col min="11777" max="11777" width="5.140625" style="1" customWidth="1"/>
    <col min="11778" max="11778" width="46.85546875" style="1" customWidth="1"/>
    <col min="11779" max="11779" width="7.140625" style="1" customWidth="1"/>
    <col min="11780" max="11780" width="10.140625" style="1" customWidth="1"/>
    <col min="11781" max="11781" width="11.28515625" style="1" customWidth="1"/>
    <col min="11782" max="11782" width="13.7109375" style="1" customWidth="1"/>
    <col min="11783" max="12032" width="9.140625" style="1"/>
    <col min="12033" max="12033" width="5.140625" style="1" customWidth="1"/>
    <col min="12034" max="12034" width="46.85546875" style="1" customWidth="1"/>
    <col min="12035" max="12035" width="7.140625" style="1" customWidth="1"/>
    <col min="12036" max="12036" width="10.140625" style="1" customWidth="1"/>
    <col min="12037" max="12037" width="11.28515625" style="1" customWidth="1"/>
    <col min="12038" max="12038" width="13.7109375" style="1" customWidth="1"/>
    <col min="12039" max="12288" width="9.140625" style="1"/>
    <col min="12289" max="12289" width="5.140625" style="1" customWidth="1"/>
    <col min="12290" max="12290" width="46.85546875" style="1" customWidth="1"/>
    <col min="12291" max="12291" width="7.140625" style="1" customWidth="1"/>
    <col min="12292" max="12292" width="10.140625" style="1" customWidth="1"/>
    <col min="12293" max="12293" width="11.28515625" style="1" customWidth="1"/>
    <col min="12294" max="12294" width="13.7109375" style="1" customWidth="1"/>
    <col min="12295" max="12544" width="9.140625" style="1"/>
    <col min="12545" max="12545" width="5.140625" style="1" customWidth="1"/>
    <col min="12546" max="12546" width="46.85546875" style="1" customWidth="1"/>
    <col min="12547" max="12547" width="7.140625" style="1" customWidth="1"/>
    <col min="12548" max="12548" width="10.140625" style="1" customWidth="1"/>
    <col min="12549" max="12549" width="11.28515625" style="1" customWidth="1"/>
    <col min="12550" max="12550" width="13.7109375" style="1" customWidth="1"/>
    <col min="12551" max="12800" width="9.140625" style="1"/>
    <col min="12801" max="12801" width="5.140625" style="1" customWidth="1"/>
    <col min="12802" max="12802" width="46.85546875" style="1" customWidth="1"/>
    <col min="12803" max="12803" width="7.140625" style="1" customWidth="1"/>
    <col min="12804" max="12804" width="10.140625" style="1" customWidth="1"/>
    <col min="12805" max="12805" width="11.28515625" style="1" customWidth="1"/>
    <col min="12806" max="12806" width="13.7109375" style="1" customWidth="1"/>
    <col min="12807" max="13056" width="9.140625" style="1"/>
    <col min="13057" max="13057" width="5.140625" style="1" customWidth="1"/>
    <col min="13058" max="13058" width="46.85546875" style="1" customWidth="1"/>
    <col min="13059" max="13059" width="7.140625" style="1" customWidth="1"/>
    <col min="13060" max="13060" width="10.140625" style="1" customWidth="1"/>
    <col min="13061" max="13061" width="11.28515625" style="1" customWidth="1"/>
    <col min="13062" max="13062" width="13.7109375" style="1" customWidth="1"/>
    <col min="13063" max="13312" width="9.140625" style="1"/>
    <col min="13313" max="13313" width="5.140625" style="1" customWidth="1"/>
    <col min="13314" max="13314" width="46.85546875" style="1" customWidth="1"/>
    <col min="13315" max="13315" width="7.140625" style="1" customWidth="1"/>
    <col min="13316" max="13316" width="10.140625" style="1" customWidth="1"/>
    <col min="13317" max="13317" width="11.28515625" style="1" customWidth="1"/>
    <col min="13318" max="13318" width="13.7109375" style="1" customWidth="1"/>
    <col min="13319" max="13568" width="9.140625" style="1"/>
    <col min="13569" max="13569" width="5.140625" style="1" customWidth="1"/>
    <col min="13570" max="13570" width="46.85546875" style="1" customWidth="1"/>
    <col min="13571" max="13571" width="7.140625" style="1" customWidth="1"/>
    <col min="13572" max="13572" width="10.140625" style="1" customWidth="1"/>
    <col min="13573" max="13573" width="11.28515625" style="1" customWidth="1"/>
    <col min="13574" max="13574" width="13.7109375" style="1" customWidth="1"/>
    <col min="13575" max="13824" width="9.140625" style="1"/>
    <col min="13825" max="13825" width="5.140625" style="1" customWidth="1"/>
    <col min="13826" max="13826" width="46.85546875" style="1" customWidth="1"/>
    <col min="13827" max="13827" width="7.140625" style="1" customWidth="1"/>
    <col min="13828" max="13828" width="10.140625" style="1" customWidth="1"/>
    <col min="13829" max="13829" width="11.28515625" style="1" customWidth="1"/>
    <col min="13830" max="13830" width="13.7109375" style="1" customWidth="1"/>
    <col min="13831" max="14080" width="9.140625" style="1"/>
    <col min="14081" max="14081" width="5.140625" style="1" customWidth="1"/>
    <col min="14082" max="14082" width="46.85546875" style="1" customWidth="1"/>
    <col min="14083" max="14083" width="7.140625" style="1" customWidth="1"/>
    <col min="14084" max="14084" width="10.140625" style="1" customWidth="1"/>
    <col min="14085" max="14085" width="11.28515625" style="1" customWidth="1"/>
    <col min="14086" max="14086" width="13.7109375" style="1" customWidth="1"/>
    <col min="14087" max="14336" width="9.140625" style="1"/>
    <col min="14337" max="14337" width="5.140625" style="1" customWidth="1"/>
    <col min="14338" max="14338" width="46.85546875" style="1" customWidth="1"/>
    <col min="14339" max="14339" width="7.140625" style="1" customWidth="1"/>
    <col min="14340" max="14340" width="10.140625" style="1" customWidth="1"/>
    <col min="14341" max="14341" width="11.28515625" style="1" customWidth="1"/>
    <col min="14342" max="14342" width="13.7109375" style="1" customWidth="1"/>
    <col min="14343" max="14592" width="9.140625" style="1"/>
    <col min="14593" max="14593" width="5.140625" style="1" customWidth="1"/>
    <col min="14594" max="14594" width="46.85546875" style="1" customWidth="1"/>
    <col min="14595" max="14595" width="7.140625" style="1" customWidth="1"/>
    <col min="14596" max="14596" width="10.140625" style="1" customWidth="1"/>
    <col min="14597" max="14597" width="11.28515625" style="1" customWidth="1"/>
    <col min="14598" max="14598" width="13.7109375" style="1" customWidth="1"/>
    <col min="14599" max="14848" width="9.140625" style="1"/>
    <col min="14849" max="14849" width="5.140625" style="1" customWidth="1"/>
    <col min="14850" max="14850" width="46.85546875" style="1" customWidth="1"/>
    <col min="14851" max="14851" width="7.140625" style="1" customWidth="1"/>
    <col min="14852" max="14852" width="10.140625" style="1" customWidth="1"/>
    <col min="14853" max="14853" width="11.28515625" style="1" customWidth="1"/>
    <col min="14854" max="14854" width="13.7109375" style="1" customWidth="1"/>
    <col min="14855" max="15104" width="9.140625" style="1"/>
    <col min="15105" max="15105" width="5.140625" style="1" customWidth="1"/>
    <col min="15106" max="15106" width="46.85546875" style="1" customWidth="1"/>
    <col min="15107" max="15107" width="7.140625" style="1" customWidth="1"/>
    <col min="15108" max="15108" width="10.140625" style="1" customWidth="1"/>
    <col min="15109" max="15109" width="11.28515625" style="1" customWidth="1"/>
    <col min="15110" max="15110" width="13.7109375" style="1" customWidth="1"/>
    <col min="15111" max="15360" width="9.140625" style="1"/>
    <col min="15361" max="15361" width="5.140625" style="1" customWidth="1"/>
    <col min="15362" max="15362" width="46.85546875" style="1" customWidth="1"/>
    <col min="15363" max="15363" width="7.140625" style="1" customWidth="1"/>
    <col min="15364" max="15364" width="10.140625" style="1" customWidth="1"/>
    <col min="15365" max="15365" width="11.28515625" style="1" customWidth="1"/>
    <col min="15366" max="15366" width="13.7109375" style="1" customWidth="1"/>
    <col min="15367" max="15616" width="9.140625" style="1"/>
    <col min="15617" max="15617" width="5.140625" style="1" customWidth="1"/>
    <col min="15618" max="15618" width="46.85546875" style="1" customWidth="1"/>
    <col min="15619" max="15619" width="7.140625" style="1" customWidth="1"/>
    <col min="15620" max="15620" width="10.140625" style="1" customWidth="1"/>
    <col min="15621" max="15621" width="11.28515625" style="1" customWidth="1"/>
    <col min="15622" max="15622" width="13.7109375" style="1" customWidth="1"/>
    <col min="15623" max="15872" width="9.140625" style="1"/>
    <col min="15873" max="15873" width="5.140625" style="1" customWidth="1"/>
    <col min="15874" max="15874" width="46.85546875" style="1" customWidth="1"/>
    <col min="15875" max="15875" width="7.140625" style="1" customWidth="1"/>
    <col min="15876" max="15876" width="10.140625" style="1" customWidth="1"/>
    <col min="15877" max="15877" width="11.28515625" style="1" customWidth="1"/>
    <col min="15878" max="15878" width="13.7109375" style="1" customWidth="1"/>
    <col min="15879" max="16128" width="9.140625" style="1"/>
    <col min="16129" max="16129" width="5.140625" style="1" customWidth="1"/>
    <col min="16130" max="16130" width="46.85546875" style="1" customWidth="1"/>
    <col min="16131" max="16131" width="7.140625" style="1" customWidth="1"/>
    <col min="16132" max="16132" width="10.140625" style="1" customWidth="1"/>
    <col min="16133" max="16133" width="11.28515625" style="1" customWidth="1"/>
    <col min="16134" max="16134" width="13.7109375" style="1" customWidth="1"/>
    <col min="16135" max="16384" width="9.140625" style="1"/>
  </cols>
  <sheetData>
    <row r="1" spans="1:6" ht="50.25" customHeight="1">
      <c r="A1" s="3197"/>
      <c r="B1" s="3197"/>
      <c r="C1" s="3198" t="s">
        <v>1277</v>
      </c>
      <c r="D1" s="3198"/>
      <c r="E1" s="3198"/>
      <c r="F1" s="3198"/>
    </row>
    <row r="2" spans="1:6" ht="15">
      <c r="A2" s="3199" t="s">
        <v>56</v>
      </c>
      <c r="B2" s="3199"/>
      <c r="C2" s="3199"/>
      <c r="D2" s="3199"/>
      <c r="E2" s="3199"/>
      <c r="F2" s="3199"/>
    </row>
    <row r="3" spans="1:6" ht="9" customHeight="1">
      <c r="A3" s="29"/>
      <c r="B3" s="29"/>
      <c r="C3" s="29"/>
      <c r="D3" s="29"/>
      <c r="E3" s="29"/>
      <c r="F3" s="29"/>
    </row>
    <row r="4" spans="1:6" ht="15" thickBot="1">
      <c r="A4" s="3200" t="s">
        <v>24</v>
      </c>
      <c r="B4" s="3200"/>
      <c r="C4" s="3200"/>
      <c r="D4" s="3200"/>
      <c r="E4" s="3200"/>
      <c r="F4" s="3200"/>
    </row>
    <row r="5" spans="1:6" ht="35.25" customHeight="1" thickBot="1">
      <c r="A5" s="145" t="s">
        <v>15</v>
      </c>
      <c r="B5" s="145" t="s">
        <v>34</v>
      </c>
      <c r="C5" s="145" t="s">
        <v>0</v>
      </c>
      <c r="D5" s="145" t="s">
        <v>1</v>
      </c>
      <c r="E5" s="145" t="s">
        <v>5</v>
      </c>
      <c r="F5" s="28" t="s">
        <v>33</v>
      </c>
    </row>
    <row r="6" spans="1:6">
      <c r="A6" s="138">
        <v>1</v>
      </c>
      <c r="B6" s="3" t="s">
        <v>167</v>
      </c>
      <c r="C6" s="3201">
        <v>921</v>
      </c>
      <c r="D6" s="3174">
        <v>92118</v>
      </c>
      <c r="E6" s="3174">
        <v>2480</v>
      </c>
      <c r="F6" s="147">
        <v>5194390</v>
      </c>
    </row>
    <row r="7" spans="1:6">
      <c r="A7" s="148">
        <v>2</v>
      </c>
      <c r="B7" s="22" t="s">
        <v>55</v>
      </c>
      <c r="C7" s="3202"/>
      <c r="D7" s="3175"/>
      <c r="E7" s="3175"/>
      <c r="F7" s="24">
        <v>3817391</v>
      </c>
    </row>
    <row r="8" spans="1:6">
      <c r="A8" s="148">
        <v>3</v>
      </c>
      <c r="B8" s="22" t="s">
        <v>54</v>
      </c>
      <c r="C8" s="3202"/>
      <c r="D8" s="3175"/>
      <c r="E8" s="3175"/>
      <c r="F8" s="23">
        <v>4182152</v>
      </c>
    </row>
    <row r="9" spans="1:6">
      <c r="A9" s="148">
        <v>4</v>
      </c>
      <c r="B9" s="22" t="s">
        <v>53</v>
      </c>
      <c r="C9" s="3202"/>
      <c r="D9" s="3175"/>
      <c r="E9" s="3175"/>
      <c r="F9" s="23">
        <v>2917773</v>
      </c>
    </row>
    <row r="10" spans="1:6" ht="15" customHeight="1">
      <c r="A10" s="148">
        <v>5</v>
      </c>
      <c r="B10" s="22" t="s">
        <v>52</v>
      </c>
      <c r="C10" s="3202"/>
      <c r="D10" s="3175"/>
      <c r="E10" s="3175"/>
      <c r="F10" s="23">
        <v>4408456</v>
      </c>
    </row>
    <row r="11" spans="1:6">
      <c r="A11" s="148">
        <v>6</v>
      </c>
      <c r="B11" s="22" t="s">
        <v>51</v>
      </c>
      <c r="C11" s="3202"/>
      <c r="D11" s="3175"/>
      <c r="E11" s="3175"/>
      <c r="F11" s="23">
        <v>4031913</v>
      </c>
    </row>
    <row r="12" spans="1:6">
      <c r="A12" s="149">
        <v>7</v>
      </c>
      <c r="B12" s="25" t="s">
        <v>50</v>
      </c>
      <c r="C12" s="3202"/>
      <c r="D12" s="3175"/>
      <c r="E12" s="3175"/>
      <c r="F12" s="105">
        <v>785690</v>
      </c>
    </row>
    <row r="13" spans="1:6" ht="25.5">
      <c r="A13" s="319">
        <v>8</v>
      </c>
      <c r="B13" s="320" t="s">
        <v>166</v>
      </c>
      <c r="C13" s="3203"/>
      <c r="D13" s="3175"/>
      <c r="E13" s="3175"/>
      <c r="F13" s="105">
        <v>77693</v>
      </c>
    </row>
    <row r="14" spans="1:6" ht="13.5" thickBot="1">
      <c r="A14" s="174">
        <v>9</v>
      </c>
      <c r="B14" s="158" t="s">
        <v>189</v>
      </c>
      <c r="C14" s="3202"/>
      <c r="D14" s="3176"/>
      <c r="E14" s="3175"/>
      <c r="F14" s="175">
        <v>904932</v>
      </c>
    </row>
    <row r="15" spans="1:6" ht="13.5" thickBot="1">
      <c r="A15" s="3205" t="s">
        <v>49</v>
      </c>
      <c r="B15" s="3206"/>
      <c r="C15" s="3202"/>
      <c r="D15" s="27">
        <v>92118</v>
      </c>
      <c r="E15" s="3175"/>
      <c r="F15" s="106">
        <f>SUM(F6:F14)</f>
        <v>26320390</v>
      </c>
    </row>
    <row r="16" spans="1:6">
      <c r="A16" s="26">
        <v>10</v>
      </c>
      <c r="B16" s="3" t="s">
        <v>48</v>
      </c>
      <c r="C16" s="3202"/>
      <c r="D16" s="3207">
        <v>92109</v>
      </c>
      <c r="E16" s="3175"/>
      <c r="F16" s="150">
        <v>4960404</v>
      </c>
    </row>
    <row r="17" spans="1:10" ht="13.5" thickBot="1">
      <c r="A17" s="149">
        <v>11</v>
      </c>
      <c r="B17" s="25" t="s">
        <v>47</v>
      </c>
      <c r="C17" s="3202"/>
      <c r="D17" s="3208"/>
      <c r="E17" s="3175"/>
      <c r="F17" s="105">
        <v>2957862</v>
      </c>
    </row>
    <row r="18" spans="1:10" ht="13.5" thickBot="1">
      <c r="A18" s="3205" t="s">
        <v>46</v>
      </c>
      <c r="B18" s="3206"/>
      <c r="C18" s="3202"/>
      <c r="D18" s="27">
        <v>92109</v>
      </c>
      <c r="E18" s="3175"/>
      <c r="F18" s="106">
        <f>SUM(F16:F17)</f>
        <v>7918266</v>
      </c>
    </row>
    <row r="19" spans="1:10">
      <c r="A19" s="26">
        <v>12</v>
      </c>
      <c r="B19" s="3" t="s">
        <v>45</v>
      </c>
      <c r="C19" s="3202"/>
      <c r="D19" s="140">
        <v>92106</v>
      </c>
      <c r="E19" s="3175"/>
      <c r="F19" s="150">
        <v>5824754</v>
      </c>
    </row>
    <row r="20" spans="1:10" ht="25.5">
      <c r="A20" s="148">
        <v>13</v>
      </c>
      <c r="B20" s="22" t="s">
        <v>44</v>
      </c>
      <c r="C20" s="3202"/>
      <c r="D20" s="141">
        <v>92108</v>
      </c>
      <c r="E20" s="3175"/>
      <c r="F20" s="107">
        <v>7070999</v>
      </c>
    </row>
    <row r="21" spans="1:10">
      <c r="A21" s="148">
        <v>14</v>
      </c>
      <c r="B21" s="22" t="s">
        <v>43</v>
      </c>
      <c r="C21" s="3202"/>
      <c r="D21" s="141">
        <v>92110</v>
      </c>
      <c r="E21" s="3175"/>
      <c r="F21" s="107">
        <v>638868</v>
      </c>
    </row>
    <row r="22" spans="1:10" ht="17.25" customHeight="1">
      <c r="A22" s="148">
        <v>15</v>
      </c>
      <c r="B22" s="22" t="s">
        <v>42</v>
      </c>
      <c r="C22" s="3202"/>
      <c r="D22" s="141">
        <v>92114</v>
      </c>
      <c r="E22" s="3175"/>
      <c r="F22" s="107">
        <v>2008983</v>
      </c>
    </row>
    <row r="23" spans="1:10" ht="26.25" thickBot="1">
      <c r="A23" s="139">
        <v>16</v>
      </c>
      <c r="B23" s="25" t="s">
        <v>41</v>
      </c>
      <c r="C23" s="3204"/>
      <c r="D23" s="142">
        <v>92116</v>
      </c>
      <c r="E23" s="3176"/>
      <c r="F23" s="108">
        <v>8783271</v>
      </c>
      <c r="G23" s="2"/>
      <c r="H23" s="2"/>
      <c r="J23" s="4"/>
    </row>
    <row r="24" spans="1:10" ht="15.75" thickBot="1">
      <c r="A24" s="3183" t="s">
        <v>40</v>
      </c>
      <c r="B24" s="3184"/>
      <c r="C24" s="3184"/>
      <c r="D24" s="3185"/>
      <c r="E24" s="137"/>
      <c r="F24" s="16">
        <f>SUM(F15,F18,F19:F23)</f>
        <v>58565531</v>
      </c>
      <c r="G24" s="2"/>
    </row>
    <row r="25" spans="1:10" ht="25.5">
      <c r="A25" s="164">
        <v>17</v>
      </c>
      <c r="B25" s="166" t="s">
        <v>185</v>
      </c>
      <c r="C25" s="3193">
        <v>851</v>
      </c>
      <c r="D25" s="3195">
        <v>85111</v>
      </c>
      <c r="E25" s="3172">
        <v>2560</v>
      </c>
      <c r="F25" s="163">
        <v>90000</v>
      </c>
    </row>
    <row r="26" spans="1:10" ht="25.5">
      <c r="A26" s="312">
        <v>18</v>
      </c>
      <c r="B26" s="166" t="s">
        <v>107</v>
      </c>
      <c r="C26" s="3193"/>
      <c r="D26" s="3195"/>
      <c r="E26" s="3172"/>
      <c r="F26" s="313">
        <v>86000</v>
      </c>
    </row>
    <row r="27" spans="1:10" ht="15" customHeight="1">
      <c r="A27" s="164">
        <v>19</v>
      </c>
      <c r="B27" s="167" t="s">
        <v>103</v>
      </c>
      <c r="C27" s="3193"/>
      <c r="D27" s="3195"/>
      <c r="E27" s="3172"/>
      <c r="F27" s="170">
        <v>50000</v>
      </c>
    </row>
    <row r="28" spans="1:10" ht="15" customHeight="1" thickBot="1">
      <c r="A28" s="165">
        <v>20</v>
      </c>
      <c r="B28" s="158" t="s">
        <v>39</v>
      </c>
      <c r="C28" s="3193"/>
      <c r="D28" s="3196"/>
      <c r="E28" s="3172"/>
      <c r="F28" s="171">
        <v>30000</v>
      </c>
      <c r="G28" s="2"/>
    </row>
    <row r="29" spans="1:10" s="102" customFormat="1" ht="15" customHeight="1" thickBot="1">
      <c r="A29" s="3191" t="s">
        <v>38</v>
      </c>
      <c r="B29" s="3192"/>
      <c r="C29" s="3193"/>
      <c r="D29" s="162">
        <v>85111</v>
      </c>
      <c r="E29" s="3172"/>
      <c r="F29" s="101">
        <f>SUM(F25:F28)</f>
        <v>256000</v>
      </c>
    </row>
    <row r="30" spans="1:10" ht="28.5" customHeight="1">
      <c r="A30" s="138">
        <v>21</v>
      </c>
      <c r="B30" s="157" t="s">
        <v>154</v>
      </c>
      <c r="C30" s="3193"/>
      <c r="D30" s="168">
        <v>85120</v>
      </c>
      <c r="E30" s="3172"/>
      <c r="F30" s="172">
        <v>30000</v>
      </c>
    </row>
    <row r="31" spans="1:10" ht="22.5" customHeight="1">
      <c r="A31" s="754">
        <v>22</v>
      </c>
      <c r="B31" s="766" t="s">
        <v>961</v>
      </c>
      <c r="C31" s="3193"/>
      <c r="D31" s="767">
        <v>85141</v>
      </c>
      <c r="E31" s="3172"/>
      <c r="F31" s="768">
        <v>80000</v>
      </c>
    </row>
    <row r="32" spans="1:10" ht="28.5" customHeight="1" thickBot="1">
      <c r="A32" s="139">
        <v>23</v>
      </c>
      <c r="B32" s="158" t="s">
        <v>37</v>
      </c>
      <c r="C32" s="3194"/>
      <c r="D32" s="169">
        <v>85148</v>
      </c>
      <c r="E32" s="3173"/>
      <c r="F32" s="173">
        <v>1132550</v>
      </c>
    </row>
    <row r="33" spans="1:8" ht="15.75" thickBot="1">
      <c r="A33" s="3183" t="s">
        <v>36</v>
      </c>
      <c r="B33" s="3184"/>
      <c r="C33" s="3184"/>
      <c r="D33" s="3185"/>
      <c r="E33" s="143"/>
      <c r="F33" s="16">
        <f>SUM(F29:F32)</f>
        <v>1498550</v>
      </c>
      <c r="G33" s="2"/>
    </row>
    <row r="34" spans="1:8" ht="13.5" thickBot="1">
      <c r="A34" s="20">
        <v>24</v>
      </c>
      <c r="B34" s="21" t="s">
        <v>35</v>
      </c>
      <c r="C34" s="20">
        <v>853</v>
      </c>
      <c r="D34" s="19">
        <v>85311</v>
      </c>
      <c r="E34" s="18">
        <v>2570</v>
      </c>
      <c r="F34" s="17">
        <v>97778</v>
      </c>
    </row>
    <row r="35" spans="1:8" ht="15.75" thickBot="1">
      <c r="A35" s="3183" t="s">
        <v>26</v>
      </c>
      <c r="B35" s="3184"/>
      <c r="C35" s="3184"/>
      <c r="D35" s="3185"/>
      <c r="E35" s="146"/>
      <c r="F35" s="16">
        <f>SUM(F34:F34)</f>
        <v>97778</v>
      </c>
    </row>
    <row r="36" spans="1:8" ht="22.5" customHeight="1" thickBot="1">
      <c r="A36" s="3177" t="s">
        <v>25</v>
      </c>
      <c r="B36" s="3178"/>
      <c r="C36" s="3178"/>
      <c r="D36" s="3179"/>
      <c r="E36" s="15"/>
      <c r="F36" s="14">
        <f>SUM(F24,F33,F35)</f>
        <v>60161859</v>
      </c>
      <c r="H36" s="2"/>
    </row>
    <row r="37" spans="1:8" ht="10.5" customHeight="1">
      <c r="A37" s="151"/>
      <c r="B37" s="152"/>
      <c r="C37" s="152"/>
      <c r="D37" s="152"/>
      <c r="E37" s="152"/>
      <c r="F37" s="153"/>
    </row>
    <row r="38" spans="1:8" ht="15" thickBot="1">
      <c r="A38" s="3186" t="s">
        <v>23</v>
      </c>
      <c r="B38" s="3187"/>
      <c r="C38" s="3187"/>
      <c r="D38" s="3187"/>
      <c r="E38" s="3187"/>
      <c r="F38" s="3188"/>
    </row>
    <row r="39" spans="1:8" ht="30.75" thickBot="1">
      <c r="A39" s="143" t="s">
        <v>15</v>
      </c>
      <c r="B39" s="137" t="s">
        <v>34</v>
      </c>
      <c r="C39" s="143" t="s">
        <v>0</v>
      </c>
      <c r="D39" s="137" t="s">
        <v>1</v>
      </c>
      <c r="E39" s="143" t="s">
        <v>5</v>
      </c>
      <c r="F39" s="144" t="s">
        <v>33</v>
      </c>
    </row>
    <row r="40" spans="1:8">
      <c r="A40" s="13">
        <v>1</v>
      </c>
      <c r="B40" s="12" t="s">
        <v>32</v>
      </c>
      <c r="C40" s="3189">
        <v>853</v>
      </c>
      <c r="D40" s="3189">
        <v>85311</v>
      </c>
      <c r="E40" s="3174">
        <v>2580</v>
      </c>
      <c r="F40" s="11">
        <v>183334</v>
      </c>
      <c r="H40" s="2"/>
    </row>
    <row r="41" spans="1:8">
      <c r="A41" s="104">
        <v>2</v>
      </c>
      <c r="B41" s="10" t="s">
        <v>31</v>
      </c>
      <c r="C41" s="3190"/>
      <c r="D41" s="3190"/>
      <c r="E41" s="3175"/>
      <c r="F41" s="154">
        <v>176000</v>
      </c>
    </row>
    <row r="42" spans="1:8">
      <c r="A42" s="104">
        <v>3</v>
      </c>
      <c r="B42" s="10" t="s">
        <v>30</v>
      </c>
      <c r="C42" s="3190"/>
      <c r="D42" s="3190"/>
      <c r="E42" s="3175"/>
      <c r="F42" s="154">
        <v>129556</v>
      </c>
    </row>
    <row r="43" spans="1:8">
      <c r="A43" s="104">
        <v>4</v>
      </c>
      <c r="B43" s="10" t="s">
        <v>29</v>
      </c>
      <c r="C43" s="3190"/>
      <c r="D43" s="3190"/>
      <c r="E43" s="3175"/>
      <c r="F43" s="154">
        <v>193112</v>
      </c>
    </row>
    <row r="44" spans="1:8">
      <c r="A44" s="104">
        <v>5</v>
      </c>
      <c r="B44" s="10" t="s">
        <v>28</v>
      </c>
      <c r="C44" s="3190"/>
      <c r="D44" s="3190"/>
      <c r="E44" s="3175"/>
      <c r="F44" s="154">
        <v>78223</v>
      </c>
    </row>
    <row r="45" spans="1:8">
      <c r="A45" s="104">
        <v>6</v>
      </c>
      <c r="B45" s="10" t="s">
        <v>27</v>
      </c>
      <c r="C45" s="3190"/>
      <c r="D45" s="3190"/>
      <c r="E45" s="3175"/>
      <c r="F45" s="154">
        <v>134445</v>
      </c>
    </row>
    <row r="46" spans="1:8">
      <c r="A46" s="155">
        <v>7</v>
      </c>
      <c r="B46" s="94" t="s">
        <v>96</v>
      </c>
      <c r="C46" s="3190"/>
      <c r="D46" s="3190"/>
      <c r="E46" s="3175"/>
      <c r="F46" s="156">
        <v>129556</v>
      </c>
    </row>
    <row r="47" spans="1:8">
      <c r="A47" s="155">
        <v>8</v>
      </c>
      <c r="B47" s="103" t="s">
        <v>190</v>
      </c>
      <c r="C47" s="3190"/>
      <c r="D47" s="3190"/>
      <c r="E47" s="3175"/>
      <c r="F47" s="156">
        <v>61112</v>
      </c>
    </row>
    <row r="48" spans="1:8">
      <c r="A48" s="104">
        <v>9</v>
      </c>
      <c r="B48" s="103" t="s">
        <v>191</v>
      </c>
      <c r="C48" s="3190"/>
      <c r="D48" s="3190"/>
      <c r="E48" s="3175"/>
      <c r="F48" s="156">
        <v>83112</v>
      </c>
    </row>
    <row r="49" spans="1:9">
      <c r="A49" s="155">
        <v>10</v>
      </c>
      <c r="B49" s="94" t="s">
        <v>106</v>
      </c>
      <c r="C49" s="3190"/>
      <c r="D49" s="3190"/>
      <c r="E49" s="3175"/>
      <c r="F49" s="156">
        <v>100223</v>
      </c>
    </row>
    <row r="50" spans="1:9">
      <c r="A50" s="155">
        <v>11</v>
      </c>
      <c r="B50" s="94" t="s">
        <v>188</v>
      </c>
      <c r="C50" s="3190"/>
      <c r="D50" s="3190"/>
      <c r="E50" s="3175"/>
      <c r="F50" s="769">
        <v>53778</v>
      </c>
    </row>
    <row r="51" spans="1:9" ht="13.5" thickBot="1">
      <c r="A51" s="155">
        <v>11</v>
      </c>
      <c r="B51" s="94" t="s">
        <v>962</v>
      </c>
      <c r="C51" s="3190"/>
      <c r="D51" s="3190"/>
      <c r="E51" s="3175"/>
      <c r="F51" s="156">
        <v>73334</v>
      </c>
      <c r="I51" s="2"/>
    </row>
    <row r="52" spans="1:9" ht="15.75" thickBot="1">
      <c r="A52" s="3180" t="s">
        <v>26</v>
      </c>
      <c r="B52" s="3181"/>
      <c r="C52" s="3181"/>
      <c r="D52" s="3182"/>
      <c r="E52" s="136"/>
      <c r="F52" s="9">
        <f>SUM(F40:F51)</f>
        <v>1395785</v>
      </c>
      <c r="G52" s="2"/>
    </row>
    <row r="53" spans="1:9" ht="20.25" customHeight="1" thickBot="1">
      <c r="A53" s="3177" t="s">
        <v>25</v>
      </c>
      <c r="B53" s="3178"/>
      <c r="C53" s="3178"/>
      <c r="D53" s="3178"/>
      <c r="E53" s="3179"/>
      <c r="F53" s="8">
        <f>SUM(F52)</f>
        <v>1395785</v>
      </c>
      <c r="G53" s="2"/>
      <c r="H53" s="2"/>
    </row>
    <row r="55" spans="1:9">
      <c r="F55" s="2"/>
      <c r="G55" s="2"/>
      <c r="H55" s="2"/>
      <c r="I55" s="2"/>
    </row>
    <row r="56" spans="1:9">
      <c r="F56" s="2"/>
      <c r="G56" s="2"/>
      <c r="H56" s="2"/>
      <c r="I56" s="2"/>
    </row>
    <row r="57" spans="1:9">
      <c r="F57" s="2"/>
      <c r="G57" s="2"/>
      <c r="H57" s="2"/>
      <c r="I57" s="2"/>
    </row>
    <row r="58" spans="1:9">
      <c r="F58" s="2"/>
      <c r="G58" s="2"/>
      <c r="H58" s="2"/>
      <c r="I58" s="2"/>
    </row>
    <row r="59" spans="1:9">
      <c r="F59" s="2"/>
      <c r="G59" s="2"/>
      <c r="H59" s="2"/>
      <c r="I59" s="2"/>
    </row>
    <row r="60" spans="1:9">
      <c r="F60" s="2"/>
      <c r="G60" s="2"/>
      <c r="H60" s="2"/>
      <c r="I60" s="2"/>
    </row>
    <row r="61" spans="1:9">
      <c r="F61" s="2"/>
      <c r="G61" s="2"/>
      <c r="H61" s="2"/>
      <c r="I61" s="2"/>
    </row>
    <row r="62" spans="1:9">
      <c r="B62" s="7"/>
      <c r="F62" s="2"/>
      <c r="G62" s="2"/>
      <c r="H62" s="2"/>
      <c r="I62" s="2"/>
    </row>
    <row r="63" spans="1:9">
      <c r="B63" s="7"/>
    </row>
    <row r="64" spans="1:9">
      <c r="B64" s="7"/>
    </row>
  </sheetData>
  <mergeCells count="24">
    <mergeCell ref="A1:B1"/>
    <mergeCell ref="C1:F1"/>
    <mergeCell ref="A2:F2"/>
    <mergeCell ref="A4:F4"/>
    <mergeCell ref="C6:C23"/>
    <mergeCell ref="E6:E23"/>
    <mergeCell ref="A15:B15"/>
    <mergeCell ref="D16:D17"/>
    <mergeCell ref="A18:B18"/>
    <mergeCell ref="E25:E32"/>
    <mergeCell ref="D6:D14"/>
    <mergeCell ref="A53:E53"/>
    <mergeCell ref="A52:D52"/>
    <mergeCell ref="A24:D24"/>
    <mergeCell ref="A35:D35"/>
    <mergeCell ref="A36:D36"/>
    <mergeCell ref="A38:F38"/>
    <mergeCell ref="C40:C51"/>
    <mergeCell ref="D40:D51"/>
    <mergeCell ref="E40:E51"/>
    <mergeCell ref="A29:B29"/>
    <mergeCell ref="A33:D33"/>
    <mergeCell ref="C25:C32"/>
    <mergeCell ref="D25:D2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N58"/>
  <sheetViews>
    <sheetView view="pageBreakPreview" topLeftCell="A43" zoomScale="90" zoomScaleNormal="100" zoomScaleSheetLayoutView="90" workbookViewId="0">
      <selection activeCell="I57" sqref="I57"/>
    </sheetView>
  </sheetViews>
  <sheetFormatPr defaultRowHeight="12.75"/>
  <cols>
    <col min="1" max="1" width="6.28515625" style="1" customWidth="1"/>
    <col min="2" max="2" width="33.28515625" style="1" customWidth="1"/>
    <col min="3" max="3" width="9.140625" style="1"/>
    <col min="4" max="4" width="10.28515625" style="1" customWidth="1"/>
    <col min="5" max="8" width="13.7109375" style="1" customWidth="1"/>
    <col min="9" max="9" width="60.140625" style="1" customWidth="1"/>
    <col min="10" max="10" width="20.28515625" style="1" customWidth="1"/>
    <col min="11" max="11" width="16.140625" style="1" customWidth="1"/>
    <col min="12" max="256" width="9.140625" style="1"/>
    <col min="257" max="257" width="6.28515625" style="1" customWidth="1"/>
    <col min="258" max="258" width="34.42578125" style="1" customWidth="1"/>
    <col min="259" max="259" width="9.140625" style="1"/>
    <col min="260" max="260" width="10.28515625" style="1" customWidth="1"/>
    <col min="261" max="262" width="12.7109375" style="1" customWidth="1"/>
    <col min="263" max="263" width="11.85546875" style="1" customWidth="1"/>
    <col min="264" max="264" width="15.140625" style="1" customWidth="1"/>
    <col min="265" max="265" width="49" style="1" customWidth="1"/>
    <col min="266" max="512" width="9.140625" style="1"/>
    <col min="513" max="513" width="6.28515625" style="1" customWidth="1"/>
    <col min="514" max="514" width="34.42578125" style="1" customWidth="1"/>
    <col min="515" max="515" width="9.140625" style="1"/>
    <col min="516" max="516" width="10.28515625" style="1" customWidth="1"/>
    <col min="517" max="518" width="12.7109375" style="1" customWidth="1"/>
    <col min="519" max="519" width="11.85546875" style="1" customWidth="1"/>
    <col min="520" max="520" width="15.140625" style="1" customWidth="1"/>
    <col min="521" max="521" width="49" style="1" customWidth="1"/>
    <col min="522" max="768" width="9.140625" style="1"/>
    <col min="769" max="769" width="6.28515625" style="1" customWidth="1"/>
    <col min="770" max="770" width="34.42578125" style="1" customWidth="1"/>
    <col min="771" max="771" width="9.140625" style="1"/>
    <col min="772" max="772" width="10.28515625" style="1" customWidth="1"/>
    <col min="773" max="774" width="12.7109375" style="1" customWidth="1"/>
    <col min="775" max="775" width="11.85546875" style="1" customWidth="1"/>
    <col min="776" max="776" width="15.140625" style="1" customWidth="1"/>
    <col min="777" max="777" width="49" style="1" customWidth="1"/>
    <col min="778" max="1024" width="9.140625" style="1"/>
    <col min="1025" max="1025" width="6.28515625" style="1" customWidth="1"/>
    <col min="1026" max="1026" width="34.42578125" style="1" customWidth="1"/>
    <col min="1027" max="1027" width="9.140625" style="1"/>
    <col min="1028" max="1028" width="10.28515625" style="1" customWidth="1"/>
    <col min="1029" max="1030" width="12.7109375" style="1" customWidth="1"/>
    <col min="1031" max="1031" width="11.85546875" style="1" customWidth="1"/>
    <col min="1032" max="1032" width="15.140625" style="1" customWidth="1"/>
    <col min="1033" max="1033" width="49" style="1" customWidth="1"/>
    <col min="1034" max="1280" width="9.140625" style="1"/>
    <col min="1281" max="1281" width="6.28515625" style="1" customWidth="1"/>
    <col min="1282" max="1282" width="34.42578125" style="1" customWidth="1"/>
    <col min="1283" max="1283" width="9.140625" style="1"/>
    <col min="1284" max="1284" width="10.28515625" style="1" customWidth="1"/>
    <col min="1285" max="1286" width="12.7109375" style="1" customWidth="1"/>
    <col min="1287" max="1287" width="11.85546875" style="1" customWidth="1"/>
    <col min="1288" max="1288" width="15.140625" style="1" customWidth="1"/>
    <col min="1289" max="1289" width="49" style="1" customWidth="1"/>
    <col min="1290" max="1536" width="9.140625" style="1"/>
    <col min="1537" max="1537" width="6.28515625" style="1" customWidth="1"/>
    <col min="1538" max="1538" width="34.42578125" style="1" customWidth="1"/>
    <col min="1539" max="1539" width="9.140625" style="1"/>
    <col min="1540" max="1540" width="10.28515625" style="1" customWidth="1"/>
    <col min="1541" max="1542" width="12.7109375" style="1" customWidth="1"/>
    <col min="1543" max="1543" width="11.85546875" style="1" customWidth="1"/>
    <col min="1544" max="1544" width="15.140625" style="1" customWidth="1"/>
    <col min="1545" max="1545" width="49" style="1" customWidth="1"/>
    <col min="1546" max="1792" width="9.140625" style="1"/>
    <col min="1793" max="1793" width="6.28515625" style="1" customWidth="1"/>
    <col min="1794" max="1794" width="34.42578125" style="1" customWidth="1"/>
    <col min="1795" max="1795" width="9.140625" style="1"/>
    <col min="1796" max="1796" width="10.28515625" style="1" customWidth="1"/>
    <col min="1797" max="1798" width="12.7109375" style="1" customWidth="1"/>
    <col min="1799" max="1799" width="11.85546875" style="1" customWidth="1"/>
    <col min="1800" max="1800" width="15.140625" style="1" customWidth="1"/>
    <col min="1801" max="1801" width="49" style="1" customWidth="1"/>
    <col min="1802" max="2048" width="9.140625" style="1"/>
    <col min="2049" max="2049" width="6.28515625" style="1" customWidth="1"/>
    <col min="2050" max="2050" width="34.42578125" style="1" customWidth="1"/>
    <col min="2051" max="2051" width="9.140625" style="1"/>
    <col min="2052" max="2052" width="10.28515625" style="1" customWidth="1"/>
    <col min="2053" max="2054" width="12.7109375" style="1" customWidth="1"/>
    <col min="2055" max="2055" width="11.85546875" style="1" customWidth="1"/>
    <col min="2056" max="2056" width="15.140625" style="1" customWidth="1"/>
    <col min="2057" max="2057" width="49" style="1" customWidth="1"/>
    <col min="2058" max="2304" width="9.140625" style="1"/>
    <col min="2305" max="2305" width="6.28515625" style="1" customWidth="1"/>
    <col min="2306" max="2306" width="34.42578125" style="1" customWidth="1"/>
    <col min="2307" max="2307" width="9.140625" style="1"/>
    <col min="2308" max="2308" width="10.28515625" style="1" customWidth="1"/>
    <col min="2309" max="2310" width="12.7109375" style="1" customWidth="1"/>
    <col min="2311" max="2311" width="11.85546875" style="1" customWidth="1"/>
    <col min="2312" max="2312" width="15.140625" style="1" customWidth="1"/>
    <col min="2313" max="2313" width="49" style="1" customWidth="1"/>
    <col min="2314" max="2560" width="9.140625" style="1"/>
    <col min="2561" max="2561" width="6.28515625" style="1" customWidth="1"/>
    <col min="2562" max="2562" width="34.42578125" style="1" customWidth="1"/>
    <col min="2563" max="2563" width="9.140625" style="1"/>
    <col min="2564" max="2564" width="10.28515625" style="1" customWidth="1"/>
    <col min="2565" max="2566" width="12.7109375" style="1" customWidth="1"/>
    <col min="2567" max="2567" width="11.85546875" style="1" customWidth="1"/>
    <col min="2568" max="2568" width="15.140625" style="1" customWidth="1"/>
    <col min="2569" max="2569" width="49" style="1" customWidth="1"/>
    <col min="2570" max="2816" width="9.140625" style="1"/>
    <col min="2817" max="2817" width="6.28515625" style="1" customWidth="1"/>
    <col min="2818" max="2818" width="34.42578125" style="1" customWidth="1"/>
    <col min="2819" max="2819" width="9.140625" style="1"/>
    <col min="2820" max="2820" width="10.28515625" style="1" customWidth="1"/>
    <col min="2821" max="2822" width="12.7109375" style="1" customWidth="1"/>
    <col min="2823" max="2823" width="11.85546875" style="1" customWidth="1"/>
    <col min="2824" max="2824" width="15.140625" style="1" customWidth="1"/>
    <col min="2825" max="2825" width="49" style="1" customWidth="1"/>
    <col min="2826" max="3072" width="9.140625" style="1"/>
    <col min="3073" max="3073" width="6.28515625" style="1" customWidth="1"/>
    <col min="3074" max="3074" width="34.42578125" style="1" customWidth="1"/>
    <col min="3075" max="3075" width="9.140625" style="1"/>
    <col min="3076" max="3076" width="10.28515625" style="1" customWidth="1"/>
    <col min="3077" max="3078" width="12.7109375" style="1" customWidth="1"/>
    <col min="3079" max="3079" width="11.85546875" style="1" customWidth="1"/>
    <col min="3080" max="3080" width="15.140625" style="1" customWidth="1"/>
    <col min="3081" max="3081" width="49" style="1" customWidth="1"/>
    <col min="3082" max="3328" width="9.140625" style="1"/>
    <col min="3329" max="3329" width="6.28515625" style="1" customWidth="1"/>
    <col min="3330" max="3330" width="34.42578125" style="1" customWidth="1"/>
    <col min="3331" max="3331" width="9.140625" style="1"/>
    <col min="3332" max="3332" width="10.28515625" style="1" customWidth="1"/>
    <col min="3333" max="3334" width="12.7109375" style="1" customWidth="1"/>
    <col min="3335" max="3335" width="11.85546875" style="1" customWidth="1"/>
    <col min="3336" max="3336" width="15.140625" style="1" customWidth="1"/>
    <col min="3337" max="3337" width="49" style="1" customWidth="1"/>
    <col min="3338" max="3584" width="9.140625" style="1"/>
    <col min="3585" max="3585" width="6.28515625" style="1" customWidth="1"/>
    <col min="3586" max="3586" width="34.42578125" style="1" customWidth="1"/>
    <col min="3587" max="3587" width="9.140625" style="1"/>
    <col min="3588" max="3588" width="10.28515625" style="1" customWidth="1"/>
    <col min="3589" max="3590" width="12.7109375" style="1" customWidth="1"/>
    <col min="3591" max="3591" width="11.85546875" style="1" customWidth="1"/>
    <col min="3592" max="3592" width="15.140625" style="1" customWidth="1"/>
    <col min="3593" max="3593" width="49" style="1" customWidth="1"/>
    <col min="3594" max="3840" width="9.140625" style="1"/>
    <col min="3841" max="3841" width="6.28515625" style="1" customWidth="1"/>
    <col min="3842" max="3842" width="34.42578125" style="1" customWidth="1"/>
    <col min="3843" max="3843" width="9.140625" style="1"/>
    <col min="3844" max="3844" width="10.28515625" style="1" customWidth="1"/>
    <col min="3845" max="3846" width="12.7109375" style="1" customWidth="1"/>
    <col min="3847" max="3847" width="11.85546875" style="1" customWidth="1"/>
    <col min="3848" max="3848" width="15.140625" style="1" customWidth="1"/>
    <col min="3849" max="3849" width="49" style="1" customWidth="1"/>
    <col min="3850" max="4096" width="9.140625" style="1"/>
    <col min="4097" max="4097" width="6.28515625" style="1" customWidth="1"/>
    <col min="4098" max="4098" width="34.42578125" style="1" customWidth="1"/>
    <col min="4099" max="4099" width="9.140625" style="1"/>
    <col min="4100" max="4100" width="10.28515625" style="1" customWidth="1"/>
    <col min="4101" max="4102" width="12.7109375" style="1" customWidth="1"/>
    <col min="4103" max="4103" width="11.85546875" style="1" customWidth="1"/>
    <col min="4104" max="4104" width="15.140625" style="1" customWidth="1"/>
    <col min="4105" max="4105" width="49" style="1" customWidth="1"/>
    <col min="4106" max="4352" width="9.140625" style="1"/>
    <col min="4353" max="4353" width="6.28515625" style="1" customWidth="1"/>
    <col min="4354" max="4354" width="34.42578125" style="1" customWidth="1"/>
    <col min="4355" max="4355" width="9.140625" style="1"/>
    <col min="4356" max="4356" width="10.28515625" style="1" customWidth="1"/>
    <col min="4357" max="4358" width="12.7109375" style="1" customWidth="1"/>
    <col min="4359" max="4359" width="11.85546875" style="1" customWidth="1"/>
    <col min="4360" max="4360" width="15.140625" style="1" customWidth="1"/>
    <col min="4361" max="4361" width="49" style="1" customWidth="1"/>
    <col min="4362" max="4608" width="9.140625" style="1"/>
    <col min="4609" max="4609" width="6.28515625" style="1" customWidth="1"/>
    <col min="4610" max="4610" width="34.42578125" style="1" customWidth="1"/>
    <col min="4611" max="4611" width="9.140625" style="1"/>
    <col min="4612" max="4612" width="10.28515625" style="1" customWidth="1"/>
    <col min="4613" max="4614" width="12.7109375" style="1" customWidth="1"/>
    <col min="4615" max="4615" width="11.85546875" style="1" customWidth="1"/>
    <col min="4616" max="4616" width="15.140625" style="1" customWidth="1"/>
    <col min="4617" max="4617" width="49" style="1" customWidth="1"/>
    <col min="4618" max="4864" width="9.140625" style="1"/>
    <col min="4865" max="4865" width="6.28515625" style="1" customWidth="1"/>
    <col min="4866" max="4866" width="34.42578125" style="1" customWidth="1"/>
    <col min="4867" max="4867" width="9.140625" style="1"/>
    <col min="4868" max="4868" width="10.28515625" style="1" customWidth="1"/>
    <col min="4869" max="4870" width="12.7109375" style="1" customWidth="1"/>
    <col min="4871" max="4871" width="11.85546875" style="1" customWidth="1"/>
    <col min="4872" max="4872" width="15.140625" style="1" customWidth="1"/>
    <col min="4873" max="4873" width="49" style="1" customWidth="1"/>
    <col min="4874" max="5120" width="9.140625" style="1"/>
    <col min="5121" max="5121" width="6.28515625" style="1" customWidth="1"/>
    <col min="5122" max="5122" width="34.42578125" style="1" customWidth="1"/>
    <col min="5123" max="5123" width="9.140625" style="1"/>
    <col min="5124" max="5124" width="10.28515625" style="1" customWidth="1"/>
    <col min="5125" max="5126" width="12.7109375" style="1" customWidth="1"/>
    <col min="5127" max="5127" width="11.85546875" style="1" customWidth="1"/>
    <col min="5128" max="5128" width="15.140625" style="1" customWidth="1"/>
    <col min="5129" max="5129" width="49" style="1" customWidth="1"/>
    <col min="5130" max="5376" width="9.140625" style="1"/>
    <col min="5377" max="5377" width="6.28515625" style="1" customWidth="1"/>
    <col min="5378" max="5378" width="34.42578125" style="1" customWidth="1"/>
    <col min="5379" max="5379" width="9.140625" style="1"/>
    <col min="5380" max="5380" width="10.28515625" style="1" customWidth="1"/>
    <col min="5381" max="5382" width="12.7109375" style="1" customWidth="1"/>
    <col min="5383" max="5383" width="11.85546875" style="1" customWidth="1"/>
    <col min="5384" max="5384" width="15.140625" style="1" customWidth="1"/>
    <col min="5385" max="5385" width="49" style="1" customWidth="1"/>
    <col min="5386" max="5632" width="9.140625" style="1"/>
    <col min="5633" max="5633" width="6.28515625" style="1" customWidth="1"/>
    <col min="5634" max="5634" width="34.42578125" style="1" customWidth="1"/>
    <col min="5635" max="5635" width="9.140625" style="1"/>
    <col min="5636" max="5636" width="10.28515625" style="1" customWidth="1"/>
    <col min="5637" max="5638" width="12.7109375" style="1" customWidth="1"/>
    <col min="5639" max="5639" width="11.85546875" style="1" customWidth="1"/>
    <col min="5640" max="5640" width="15.140625" style="1" customWidth="1"/>
    <col min="5641" max="5641" width="49" style="1" customWidth="1"/>
    <col min="5642" max="5888" width="9.140625" style="1"/>
    <col min="5889" max="5889" width="6.28515625" style="1" customWidth="1"/>
    <col min="5890" max="5890" width="34.42578125" style="1" customWidth="1"/>
    <col min="5891" max="5891" width="9.140625" style="1"/>
    <col min="5892" max="5892" width="10.28515625" style="1" customWidth="1"/>
    <col min="5893" max="5894" width="12.7109375" style="1" customWidth="1"/>
    <col min="5895" max="5895" width="11.85546875" style="1" customWidth="1"/>
    <col min="5896" max="5896" width="15.140625" style="1" customWidth="1"/>
    <col min="5897" max="5897" width="49" style="1" customWidth="1"/>
    <col min="5898" max="6144" width="9.140625" style="1"/>
    <col min="6145" max="6145" width="6.28515625" style="1" customWidth="1"/>
    <col min="6146" max="6146" width="34.42578125" style="1" customWidth="1"/>
    <col min="6147" max="6147" width="9.140625" style="1"/>
    <col min="6148" max="6148" width="10.28515625" style="1" customWidth="1"/>
    <col min="6149" max="6150" width="12.7109375" style="1" customWidth="1"/>
    <col min="6151" max="6151" width="11.85546875" style="1" customWidth="1"/>
    <col min="6152" max="6152" width="15.140625" style="1" customWidth="1"/>
    <col min="6153" max="6153" width="49" style="1" customWidth="1"/>
    <col min="6154" max="6400" width="9.140625" style="1"/>
    <col min="6401" max="6401" width="6.28515625" style="1" customWidth="1"/>
    <col min="6402" max="6402" width="34.42578125" style="1" customWidth="1"/>
    <col min="6403" max="6403" width="9.140625" style="1"/>
    <col min="6404" max="6404" width="10.28515625" style="1" customWidth="1"/>
    <col min="6405" max="6406" width="12.7109375" style="1" customWidth="1"/>
    <col min="6407" max="6407" width="11.85546875" style="1" customWidth="1"/>
    <col min="6408" max="6408" width="15.140625" style="1" customWidth="1"/>
    <col min="6409" max="6409" width="49" style="1" customWidth="1"/>
    <col min="6410" max="6656" width="9.140625" style="1"/>
    <col min="6657" max="6657" width="6.28515625" style="1" customWidth="1"/>
    <col min="6658" max="6658" width="34.42578125" style="1" customWidth="1"/>
    <col min="6659" max="6659" width="9.140625" style="1"/>
    <col min="6660" max="6660" width="10.28515625" style="1" customWidth="1"/>
    <col min="6661" max="6662" width="12.7109375" style="1" customWidth="1"/>
    <col min="6663" max="6663" width="11.85546875" style="1" customWidth="1"/>
    <col min="6664" max="6664" width="15.140625" style="1" customWidth="1"/>
    <col min="6665" max="6665" width="49" style="1" customWidth="1"/>
    <col min="6666" max="6912" width="9.140625" style="1"/>
    <col min="6913" max="6913" width="6.28515625" style="1" customWidth="1"/>
    <col min="6914" max="6914" width="34.42578125" style="1" customWidth="1"/>
    <col min="6915" max="6915" width="9.140625" style="1"/>
    <col min="6916" max="6916" width="10.28515625" style="1" customWidth="1"/>
    <col min="6917" max="6918" width="12.7109375" style="1" customWidth="1"/>
    <col min="6919" max="6919" width="11.85546875" style="1" customWidth="1"/>
    <col min="6920" max="6920" width="15.140625" style="1" customWidth="1"/>
    <col min="6921" max="6921" width="49" style="1" customWidth="1"/>
    <col min="6922" max="7168" width="9.140625" style="1"/>
    <col min="7169" max="7169" width="6.28515625" style="1" customWidth="1"/>
    <col min="7170" max="7170" width="34.42578125" style="1" customWidth="1"/>
    <col min="7171" max="7171" width="9.140625" style="1"/>
    <col min="7172" max="7172" width="10.28515625" style="1" customWidth="1"/>
    <col min="7173" max="7174" width="12.7109375" style="1" customWidth="1"/>
    <col min="7175" max="7175" width="11.85546875" style="1" customWidth="1"/>
    <col min="7176" max="7176" width="15.140625" style="1" customWidth="1"/>
    <col min="7177" max="7177" width="49" style="1" customWidth="1"/>
    <col min="7178" max="7424" width="9.140625" style="1"/>
    <col min="7425" max="7425" width="6.28515625" style="1" customWidth="1"/>
    <col min="7426" max="7426" width="34.42578125" style="1" customWidth="1"/>
    <col min="7427" max="7427" width="9.140625" style="1"/>
    <col min="7428" max="7428" width="10.28515625" style="1" customWidth="1"/>
    <col min="7429" max="7430" width="12.7109375" style="1" customWidth="1"/>
    <col min="7431" max="7431" width="11.85546875" style="1" customWidth="1"/>
    <col min="7432" max="7432" width="15.140625" style="1" customWidth="1"/>
    <col min="7433" max="7433" width="49" style="1" customWidth="1"/>
    <col min="7434" max="7680" width="9.140625" style="1"/>
    <col min="7681" max="7681" width="6.28515625" style="1" customWidth="1"/>
    <col min="7682" max="7682" width="34.42578125" style="1" customWidth="1"/>
    <col min="7683" max="7683" width="9.140625" style="1"/>
    <col min="7684" max="7684" width="10.28515625" style="1" customWidth="1"/>
    <col min="7685" max="7686" width="12.7109375" style="1" customWidth="1"/>
    <col min="7687" max="7687" width="11.85546875" style="1" customWidth="1"/>
    <col min="7688" max="7688" width="15.140625" style="1" customWidth="1"/>
    <col min="7689" max="7689" width="49" style="1" customWidth="1"/>
    <col min="7690" max="7936" width="9.140625" style="1"/>
    <col min="7937" max="7937" width="6.28515625" style="1" customWidth="1"/>
    <col min="7938" max="7938" width="34.42578125" style="1" customWidth="1"/>
    <col min="7939" max="7939" width="9.140625" style="1"/>
    <col min="7940" max="7940" width="10.28515625" style="1" customWidth="1"/>
    <col min="7941" max="7942" width="12.7109375" style="1" customWidth="1"/>
    <col min="7943" max="7943" width="11.85546875" style="1" customWidth="1"/>
    <col min="7944" max="7944" width="15.140625" style="1" customWidth="1"/>
    <col min="7945" max="7945" width="49" style="1" customWidth="1"/>
    <col min="7946" max="8192" width="9.140625" style="1"/>
    <col min="8193" max="8193" width="6.28515625" style="1" customWidth="1"/>
    <col min="8194" max="8194" width="34.42578125" style="1" customWidth="1"/>
    <col min="8195" max="8195" width="9.140625" style="1"/>
    <col min="8196" max="8196" width="10.28515625" style="1" customWidth="1"/>
    <col min="8197" max="8198" width="12.7109375" style="1" customWidth="1"/>
    <col min="8199" max="8199" width="11.85546875" style="1" customWidth="1"/>
    <col min="8200" max="8200" width="15.140625" style="1" customWidth="1"/>
    <col min="8201" max="8201" width="49" style="1" customWidth="1"/>
    <col min="8202" max="8448" width="9.140625" style="1"/>
    <col min="8449" max="8449" width="6.28515625" style="1" customWidth="1"/>
    <col min="8450" max="8450" width="34.42578125" style="1" customWidth="1"/>
    <col min="8451" max="8451" width="9.140625" style="1"/>
    <col min="8452" max="8452" width="10.28515625" style="1" customWidth="1"/>
    <col min="8453" max="8454" width="12.7109375" style="1" customWidth="1"/>
    <col min="8455" max="8455" width="11.85546875" style="1" customWidth="1"/>
    <col min="8456" max="8456" width="15.140625" style="1" customWidth="1"/>
    <col min="8457" max="8457" width="49" style="1" customWidth="1"/>
    <col min="8458" max="8704" width="9.140625" style="1"/>
    <col min="8705" max="8705" width="6.28515625" style="1" customWidth="1"/>
    <col min="8706" max="8706" width="34.42578125" style="1" customWidth="1"/>
    <col min="8707" max="8707" width="9.140625" style="1"/>
    <col min="8708" max="8708" width="10.28515625" style="1" customWidth="1"/>
    <col min="8709" max="8710" width="12.7109375" style="1" customWidth="1"/>
    <col min="8711" max="8711" width="11.85546875" style="1" customWidth="1"/>
    <col min="8712" max="8712" width="15.140625" style="1" customWidth="1"/>
    <col min="8713" max="8713" width="49" style="1" customWidth="1"/>
    <col min="8714" max="8960" width="9.140625" style="1"/>
    <col min="8961" max="8961" width="6.28515625" style="1" customWidth="1"/>
    <col min="8962" max="8962" width="34.42578125" style="1" customWidth="1"/>
    <col min="8963" max="8963" width="9.140625" style="1"/>
    <col min="8964" max="8964" width="10.28515625" style="1" customWidth="1"/>
    <col min="8965" max="8966" width="12.7109375" style="1" customWidth="1"/>
    <col min="8967" max="8967" width="11.85546875" style="1" customWidth="1"/>
    <col min="8968" max="8968" width="15.140625" style="1" customWidth="1"/>
    <col min="8969" max="8969" width="49" style="1" customWidth="1"/>
    <col min="8970" max="9216" width="9.140625" style="1"/>
    <col min="9217" max="9217" width="6.28515625" style="1" customWidth="1"/>
    <col min="9218" max="9218" width="34.42578125" style="1" customWidth="1"/>
    <col min="9219" max="9219" width="9.140625" style="1"/>
    <col min="9220" max="9220" width="10.28515625" style="1" customWidth="1"/>
    <col min="9221" max="9222" width="12.7109375" style="1" customWidth="1"/>
    <col min="9223" max="9223" width="11.85546875" style="1" customWidth="1"/>
    <col min="9224" max="9224" width="15.140625" style="1" customWidth="1"/>
    <col min="9225" max="9225" width="49" style="1" customWidth="1"/>
    <col min="9226" max="9472" width="9.140625" style="1"/>
    <col min="9473" max="9473" width="6.28515625" style="1" customWidth="1"/>
    <col min="9474" max="9474" width="34.42578125" style="1" customWidth="1"/>
    <col min="9475" max="9475" width="9.140625" style="1"/>
    <col min="9476" max="9476" width="10.28515625" style="1" customWidth="1"/>
    <col min="9477" max="9478" width="12.7109375" style="1" customWidth="1"/>
    <col min="9479" max="9479" width="11.85546875" style="1" customWidth="1"/>
    <col min="9480" max="9480" width="15.140625" style="1" customWidth="1"/>
    <col min="9481" max="9481" width="49" style="1" customWidth="1"/>
    <col min="9482" max="9728" width="9.140625" style="1"/>
    <col min="9729" max="9729" width="6.28515625" style="1" customWidth="1"/>
    <col min="9730" max="9730" width="34.42578125" style="1" customWidth="1"/>
    <col min="9731" max="9731" width="9.140625" style="1"/>
    <col min="9732" max="9732" width="10.28515625" style="1" customWidth="1"/>
    <col min="9733" max="9734" width="12.7109375" style="1" customWidth="1"/>
    <col min="9735" max="9735" width="11.85546875" style="1" customWidth="1"/>
    <col min="9736" max="9736" width="15.140625" style="1" customWidth="1"/>
    <col min="9737" max="9737" width="49" style="1" customWidth="1"/>
    <col min="9738" max="9984" width="9.140625" style="1"/>
    <col min="9985" max="9985" width="6.28515625" style="1" customWidth="1"/>
    <col min="9986" max="9986" width="34.42578125" style="1" customWidth="1"/>
    <col min="9987" max="9987" width="9.140625" style="1"/>
    <col min="9988" max="9988" width="10.28515625" style="1" customWidth="1"/>
    <col min="9989" max="9990" width="12.7109375" style="1" customWidth="1"/>
    <col min="9991" max="9991" width="11.85546875" style="1" customWidth="1"/>
    <col min="9992" max="9992" width="15.140625" style="1" customWidth="1"/>
    <col min="9993" max="9993" width="49" style="1" customWidth="1"/>
    <col min="9994" max="10240" width="9.140625" style="1"/>
    <col min="10241" max="10241" width="6.28515625" style="1" customWidth="1"/>
    <col min="10242" max="10242" width="34.42578125" style="1" customWidth="1"/>
    <col min="10243" max="10243" width="9.140625" style="1"/>
    <col min="10244" max="10244" width="10.28515625" style="1" customWidth="1"/>
    <col min="10245" max="10246" width="12.7109375" style="1" customWidth="1"/>
    <col min="10247" max="10247" width="11.85546875" style="1" customWidth="1"/>
    <col min="10248" max="10248" width="15.140625" style="1" customWidth="1"/>
    <col min="10249" max="10249" width="49" style="1" customWidth="1"/>
    <col min="10250" max="10496" width="9.140625" style="1"/>
    <col min="10497" max="10497" width="6.28515625" style="1" customWidth="1"/>
    <col min="10498" max="10498" width="34.42578125" style="1" customWidth="1"/>
    <col min="10499" max="10499" width="9.140625" style="1"/>
    <col min="10500" max="10500" width="10.28515625" style="1" customWidth="1"/>
    <col min="10501" max="10502" width="12.7109375" style="1" customWidth="1"/>
    <col min="10503" max="10503" width="11.85546875" style="1" customWidth="1"/>
    <col min="10504" max="10504" width="15.140625" style="1" customWidth="1"/>
    <col min="10505" max="10505" width="49" style="1" customWidth="1"/>
    <col min="10506" max="10752" width="9.140625" style="1"/>
    <col min="10753" max="10753" width="6.28515625" style="1" customWidth="1"/>
    <col min="10754" max="10754" width="34.42578125" style="1" customWidth="1"/>
    <col min="10755" max="10755" width="9.140625" style="1"/>
    <col min="10756" max="10756" width="10.28515625" style="1" customWidth="1"/>
    <col min="10757" max="10758" width="12.7109375" style="1" customWidth="1"/>
    <col min="10759" max="10759" width="11.85546875" style="1" customWidth="1"/>
    <col min="10760" max="10760" width="15.140625" style="1" customWidth="1"/>
    <col min="10761" max="10761" width="49" style="1" customWidth="1"/>
    <col min="10762" max="11008" width="9.140625" style="1"/>
    <col min="11009" max="11009" width="6.28515625" style="1" customWidth="1"/>
    <col min="11010" max="11010" width="34.42578125" style="1" customWidth="1"/>
    <col min="11011" max="11011" width="9.140625" style="1"/>
    <col min="11012" max="11012" width="10.28515625" style="1" customWidth="1"/>
    <col min="11013" max="11014" width="12.7109375" style="1" customWidth="1"/>
    <col min="11015" max="11015" width="11.85546875" style="1" customWidth="1"/>
    <col min="11016" max="11016" width="15.140625" style="1" customWidth="1"/>
    <col min="11017" max="11017" width="49" style="1" customWidth="1"/>
    <col min="11018" max="11264" width="9.140625" style="1"/>
    <col min="11265" max="11265" width="6.28515625" style="1" customWidth="1"/>
    <col min="11266" max="11266" width="34.42578125" style="1" customWidth="1"/>
    <col min="11267" max="11267" width="9.140625" style="1"/>
    <col min="11268" max="11268" width="10.28515625" style="1" customWidth="1"/>
    <col min="11269" max="11270" width="12.7109375" style="1" customWidth="1"/>
    <col min="11271" max="11271" width="11.85546875" style="1" customWidth="1"/>
    <col min="11272" max="11272" width="15.140625" style="1" customWidth="1"/>
    <col min="11273" max="11273" width="49" style="1" customWidth="1"/>
    <col min="11274" max="11520" width="9.140625" style="1"/>
    <col min="11521" max="11521" width="6.28515625" style="1" customWidth="1"/>
    <col min="11522" max="11522" width="34.42578125" style="1" customWidth="1"/>
    <col min="11523" max="11523" width="9.140625" style="1"/>
    <col min="11524" max="11524" width="10.28515625" style="1" customWidth="1"/>
    <col min="11525" max="11526" width="12.7109375" style="1" customWidth="1"/>
    <col min="11527" max="11527" width="11.85546875" style="1" customWidth="1"/>
    <col min="11528" max="11528" width="15.140625" style="1" customWidth="1"/>
    <col min="11529" max="11529" width="49" style="1" customWidth="1"/>
    <col min="11530" max="11776" width="9.140625" style="1"/>
    <col min="11777" max="11777" width="6.28515625" style="1" customWidth="1"/>
    <col min="11778" max="11778" width="34.42578125" style="1" customWidth="1"/>
    <col min="11779" max="11779" width="9.140625" style="1"/>
    <col min="11780" max="11780" width="10.28515625" style="1" customWidth="1"/>
    <col min="11781" max="11782" width="12.7109375" style="1" customWidth="1"/>
    <col min="11783" max="11783" width="11.85546875" style="1" customWidth="1"/>
    <col min="11784" max="11784" width="15.140625" style="1" customWidth="1"/>
    <col min="11785" max="11785" width="49" style="1" customWidth="1"/>
    <col min="11786" max="12032" width="9.140625" style="1"/>
    <col min="12033" max="12033" width="6.28515625" style="1" customWidth="1"/>
    <col min="12034" max="12034" width="34.42578125" style="1" customWidth="1"/>
    <col min="12035" max="12035" width="9.140625" style="1"/>
    <col min="12036" max="12036" width="10.28515625" style="1" customWidth="1"/>
    <col min="12037" max="12038" width="12.7109375" style="1" customWidth="1"/>
    <col min="12039" max="12039" width="11.85546875" style="1" customWidth="1"/>
    <col min="12040" max="12040" width="15.140625" style="1" customWidth="1"/>
    <col min="12041" max="12041" width="49" style="1" customWidth="1"/>
    <col min="12042" max="12288" width="9.140625" style="1"/>
    <col min="12289" max="12289" width="6.28515625" style="1" customWidth="1"/>
    <col min="12290" max="12290" width="34.42578125" style="1" customWidth="1"/>
    <col min="12291" max="12291" width="9.140625" style="1"/>
    <col min="12292" max="12292" width="10.28515625" style="1" customWidth="1"/>
    <col min="12293" max="12294" width="12.7109375" style="1" customWidth="1"/>
    <col min="12295" max="12295" width="11.85546875" style="1" customWidth="1"/>
    <col min="12296" max="12296" width="15.140625" style="1" customWidth="1"/>
    <col min="12297" max="12297" width="49" style="1" customWidth="1"/>
    <col min="12298" max="12544" width="9.140625" style="1"/>
    <col min="12545" max="12545" width="6.28515625" style="1" customWidth="1"/>
    <col min="12546" max="12546" width="34.42578125" style="1" customWidth="1"/>
    <col min="12547" max="12547" width="9.140625" style="1"/>
    <col min="12548" max="12548" width="10.28515625" style="1" customWidth="1"/>
    <col min="12549" max="12550" width="12.7109375" style="1" customWidth="1"/>
    <col min="12551" max="12551" width="11.85546875" style="1" customWidth="1"/>
    <col min="12552" max="12552" width="15.140625" style="1" customWidth="1"/>
    <col min="12553" max="12553" width="49" style="1" customWidth="1"/>
    <col min="12554" max="12800" width="9.140625" style="1"/>
    <col min="12801" max="12801" width="6.28515625" style="1" customWidth="1"/>
    <col min="12802" max="12802" width="34.42578125" style="1" customWidth="1"/>
    <col min="12803" max="12803" width="9.140625" style="1"/>
    <col min="12804" max="12804" width="10.28515625" style="1" customWidth="1"/>
    <col min="12805" max="12806" width="12.7109375" style="1" customWidth="1"/>
    <col min="12807" max="12807" width="11.85546875" style="1" customWidth="1"/>
    <col min="12808" max="12808" width="15.140625" style="1" customWidth="1"/>
    <col min="12809" max="12809" width="49" style="1" customWidth="1"/>
    <col min="12810" max="13056" width="9.140625" style="1"/>
    <col min="13057" max="13057" width="6.28515625" style="1" customWidth="1"/>
    <col min="13058" max="13058" width="34.42578125" style="1" customWidth="1"/>
    <col min="13059" max="13059" width="9.140625" style="1"/>
    <col min="13060" max="13060" width="10.28515625" style="1" customWidth="1"/>
    <col min="13061" max="13062" width="12.7109375" style="1" customWidth="1"/>
    <col min="13063" max="13063" width="11.85546875" style="1" customWidth="1"/>
    <col min="13064" max="13064" width="15.140625" style="1" customWidth="1"/>
    <col min="13065" max="13065" width="49" style="1" customWidth="1"/>
    <col min="13066" max="13312" width="9.140625" style="1"/>
    <col min="13313" max="13313" width="6.28515625" style="1" customWidth="1"/>
    <col min="13314" max="13314" width="34.42578125" style="1" customWidth="1"/>
    <col min="13315" max="13315" width="9.140625" style="1"/>
    <col min="13316" max="13316" width="10.28515625" style="1" customWidth="1"/>
    <col min="13317" max="13318" width="12.7109375" style="1" customWidth="1"/>
    <col min="13319" max="13319" width="11.85546875" style="1" customWidth="1"/>
    <col min="13320" max="13320" width="15.140625" style="1" customWidth="1"/>
    <col min="13321" max="13321" width="49" style="1" customWidth="1"/>
    <col min="13322" max="13568" width="9.140625" style="1"/>
    <col min="13569" max="13569" width="6.28515625" style="1" customWidth="1"/>
    <col min="13570" max="13570" width="34.42578125" style="1" customWidth="1"/>
    <col min="13571" max="13571" width="9.140625" style="1"/>
    <col min="13572" max="13572" width="10.28515625" style="1" customWidth="1"/>
    <col min="13573" max="13574" width="12.7109375" style="1" customWidth="1"/>
    <col min="13575" max="13575" width="11.85546875" style="1" customWidth="1"/>
    <col min="13576" max="13576" width="15.140625" style="1" customWidth="1"/>
    <col min="13577" max="13577" width="49" style="1" customWidth="1"/>
    <col min="13578" max="13824" width="9.140625" style="1"/>
    <col min="13825" max="13825" width="6.28515625" style="1" customWidth="1"/>
    <col min="13826" max="13826" width="34.42578125" style="1" customWidth="1"/>
    <col min="13827" max="13827" width="9.140625" style="1"/>
    <col min="13828" max="13828" width="10.28515625" style="1" customWidth="1"/>
    <col min="13829" max="13830" width="12.7109375" style="1" customWidth="1"/>
    <col min="13831" max="13831" width="11.85546875" style="1" customWidth="1"/>
    <col min="13832" max="13832" width="15.140625" style="1" customWidth="1"/>
    <col min="13833" max="13833" width="49" style="1" customWidth="1"/>
    <col min="13834" max="14080" width="9.140625" style="1"/>
    <col min="14081" max="14081" width="6.28515625" style="1" customWidth="1"/>
    <col min="14082" max="14082" width="34.42578125" style="1" customWidth="1"/>
    <col min="14083" max="14083" width="9.140625" style="1"/>
    <col min="14084" max="14084" width="10.28515625" style="1" customWidth="1"/>
    <col min="14085" max="14086" width="12.7109375" style="1" customWidth="1"/>
    <col min="14087" max="14087" width="11.85546875" style="1" customWidth="1"/>
    <col min="14088" max="14088" width="15.140625" style="1" customWidth="1"/>
    <col min="14089" max="14089" width="49" style="1" customWidth="1"/>
    <col min="14090" max="14336" width="9.140625" style="1"/>
    <col min="14337" max="14337" width="6.28515625" style="1" customWidth="1"/>
    <col min="14338" max="14338" width="34.42578125" style="1" customWidth="1"/>
    <col min="14339" max="14339" width="9.140625" style="1"/>
    <col min="14340" max="14340" width="10.28515625" style="1" customWidth="1"/>
    <col min="14341" max="14342" width="12.7109375" style="1" customWidth="1"/>
    <col min="14343" max="14343" width="11.85546875" style="1" customWidth="1"/>
    <col min="14344" max="14344" width="15.140625" style="1" customWidth="1"/>
    <col min="14345" max="14345" width="49" style="1" customWidth="1"/>
    <col min="14346" max="14592" width="9.140625" style="1"/>
    <col min="14593" max="14593" width="6.28515625" style="1" customWidth="1"/>
    <col min="14594" max="14594" width="34.42578125" style="1" customWidth="1"/>
    <col min="14595" max="14595" width="9.140625" style="1"/>
    <col min="14596" max="14596" width="10.28515625" style="1" customWidth="1"/>
    <col min="14597" max="14598" width="12.7109375" style="1" customWidth="1"/>
    <col min="14599" max="14599" width="11.85546875" style="1" customWidth="1"/>
    <col min="14600" max="14600" width="15.140625" style="1" customWidth="1"/>
    <col min="14601" max="14601" width="49" style="1" customWidth="1"/>
    <col min="14602" max="14848" width="9.140625" style="1"/>
    <col min="14849" max="14849" width="6.28515625" style="1" customWidth="1"/>
    <col min="14850" max="14850" width="34.42578125" style="1" customWidth="1"/>
    <col min="14851" max="14851" width="9.140625" style="1"/>
    <col min="14852" max="14852" width="10.28515625" style="1" customWidth="1"/>
    <col min="14853" max="14854" width="12.7109375" style="1" customWidth="1"/>
    <col min="14855" max="14855" width="11.85546875" style="1" customWidth="1"/>
    <col min="14856" max="14856" width="15.140625" style="1" customWidth="1"/>
    <col min="14857" max="14857" width="49" style="1" customWidth="1"/>
    <col min="14858" max="15104" width="9.140625" style="1"/>
    <col min="15105" max="15105" width="6.28515625" style="1" customWidth="1"/>
    <col min="15106" max="15106" width="34.42578125" style="1" customWidth="1"/>
    <col min="15107" max="15107" width="9.140625" style="1"/>
    <col min="15108" max="15108" width="10.28515625" style="1" customWidth="1"/>
    <col min="15109" max="15110" width="12.7109375" style="1" customWidth="1"/>
    <col min="15111" max="15111" width="11.85546875" style="1" customWidth="1"/>
    <col min="15112" max="15112" width="15.140625" style="1" customWidth="1"/>
    <col min="15113" max="15113" width="49" style="1" customWidth="1"/>
    <col min="15114" max="15360" width="9.140625" style="1"/>
    <col min="15361" max="15361" width="6.28515625" style="1" customWidth="1"/>
    <col min="15362" max="15362" width="34.42578125" style="1" customWidth="1"/>
    <col min="15363" max="15363" width="9.140625" style="1"/>
    <col min="15364" max="15364" width="10.28515625" style="1" customWidth="1"/>
    <col min="15365" max="15366" width="12.7109375" style="1" customWidth="1"/>
    <col min="15367" max="15367" width="11.85546875" style="1" customWidth="1"/>
    <col min="15368" max="15368" width="15.140625" style="1" customWidth="1"/>
    <col min="15369" max="15369" width="49" style="1" customWidth="1"/>
    <col min="15370" max="15616" width="9.140625" style="1"/>
    <col min="15617" max="15617" width="6.28515625" style="1" customWidth="1"/>
    <col min="15618" max="15618" width="34.42578125" style="1" customWidth="1"/>
    <col min="15619" max="15619" width="9.140625" style="1"/>
    <col min="15620" max="15620" width="10.28515625" style="1" customWidth="1"/>
    <col min="15621" max="15622" width="12.7109375" style="1" customWidth="1"/>
    <col min="15623" max="15623" width="11.85546875" style="1" customWidth="1"/>
    <col min="15624" max="15624" width="15.140625" style="1" customWidth="1"/>
    <col min="15625" max="15625" width="49" style="1" customWidth="1"/>
    <col min="15626" max="15872" width="9.140625" style="1"/>
    <col min="15873" max="15873" width="6.28515625" style="1" customWidth="1"/>
    <col min="15874" max="15874" width="34.42578125" style="1" customWidth="1"/>
    <col min="15875" max="15875" width="9.140625" style="1"/>
    <col min="15876" max="15876" width="10.28515625" style="1" customWidth="1"/>
    <col min="15877" max="15878" width="12.7109375" style="1" customWidth="1"/>
    <col min="15879" max="15879" width="11.85546875" style="1" customWidth="1"/>
    <col min="15880" max="15880" width="15.140625" style="1" customWidth="1"/>
    <col min="15881" max="15881" width="49" style="1" customWidth="1"/>
    <col min="15882" max="16128" width="9.140625" style="1"/>
    <col min="16129" max="16129" width="6.28515625" style="1" customWidth="1"/>
    <col min="16130" max="16130" width="34.42578125" style="1" customWidth="1"/>
    <col min="16131" max="16131" width="9.140625" style="1"/>
    <col min="16132" max="16132" width="10.28515625" style="1" customWidth="1"/>
    <col min="16133" max="16134" width="12.7109375" style="1" customWidth="1"/>
    <col min="16135" max="16135" width="11.85546875" style="1" customWidth="1"/>
    <col min="16136" max="16136" width="15.140625" style="1" customWidth="1"/>
    <col min="16137" max="16137" width="49" style="1" customWidth="1"/>
    <col min="16138" max="16384" width="9.140625" style="1"/>
  </cols>
  <sheetData>
    <row r="1" spans="1:10" ht="55.5" customHeight="1">
      <c r="A1" s="3197"/>
      <c r="B1" s="3197"/>
      <c r="C1" s="3249"/>
      <c r="D1" s="113"/>
      <c r="E1" s="113"/>
      <c r="F1" s="113"/>
      <c r="G1" s="113"/>
      <c r="H1" s="113"/>
      <c r="I1" s="112" t="s">
        <v>1278</v>
      </c>
    </row>
    <row r="2" spans="1:10" ht="38.25" customHeight="1">
      <c r="A2" s="3250" t="s">
        <v>136</v>
      </c>
      <c r="B2" s="3250"/>
      <c r="C2" s="3250"/>
      <c r="D2" s="3250"/>
      <c r="E2" s="3250"/>
      <c r="F2" s="3250"/>
      <c r="G2" s="3250"/>
      <c r="H2" s="3250"/>
      <c r="I2" s="3250"/>
    </row>
    <row r="3" spans="1:10" ht="27" customHeight="1" thickBot="1">
      <c r="A3" s="29"/>
      <c r="B3" s="29"/>
      <c r="C3" s="29"/>
      <c r="D3" s="29"/>
      <c r="E3" s="29"/>
      <c r="F3" s="29"/>
      <c r="G3" s="29"/>
      <c r="H3" s="29"/>
      <c r="I3" s="114" t="s">
        <v>58</v>
      </c>
    </row>
    <row r="4" spans="1:10" ht="21" customHeight="1" thickBot="1">
      <c r="A4" s="3183" t="s">
        <v>15</v>
      </c>
      <c r="B4" s="3251" t="s">
        <v>34</v>
      </c>
      <c r="C4" s="3251" t="s">
        <v>0</v>
      </c>
      <c r="D4" s="3251" t="s">
        <v>1</v>
      </c>
      <c r="E4" s="3252" t="s">
        <v>22</v>
      </c>
      <c r="F4" s="3253" t="s">
        <v>5</v>
      </c>
      <c r="G4" s="3253" t="s">
        <v>2</v>
      </c>
      <c r="H4" s="3254"/>
      <c r="I4" s="3255" t="s">
        <v>137</v>
      </c>
    </row>
    <row r="5" spans="1:10" ht="15" customHeight="1" thickBot="1">
      <c r="A5" s="3183"/>
      <c r="B5" s="3251"/>
      <c r="C5" s="3251"/>
      <c r="D5" s="3251"/>
      <c r="E5" s="3251"/>
      <c r="F5" s="3253"/>
      <c r="G5" s="3253" t="s">
        <v>20</v>
      </c>
      <c r="H5" s="3254" t="s">
        <v>19</v>
      </c>
      <c r="I5" s="3255"/>
    </row>
    <row r="6" spans="1:10" ht="28.5" customHeight="1" thickBot="1">
      <c r="A6" s="3183"/>
      <c r="B6" s="3251"/>
      <c r="C6" s="3251"/>
      <c r="D6" s="3251"/>
      <c r="E6" s="3251"/>
      <c r="F6" s="3253"/>
      <c r="G6" s="3253"/>
      <c r="H6" s="3254"/>
      <c r="I6" s="3255"/>
    </row>
    <row r="7" spans="1:10" ht="44.25" customHeight="1">
      <c r="A7" s="3239">
        <v>1</v>
      </c>
      <c r="B7" s="3230" t="s">
        <v>960</v>
      </c>
      <c r="C7" s="3244" t="s">
        <v>109</v>
      </c>
      <c r="D7" s="3244" t="s">
        <v>110</v>
      </c>
      <c r="E7" s="3260">
        <f>SUM(G7:H10)</f>
        <v>9090000</v>
      </c>
      <c r="F7" s="227">
        <v>2310</v>
      </c>
      <c r="G7" s="115">
        <v>3000000</v>
      </c>
      <c r="H7" s="229"/>
      <c r="I7" s="230" t="s">
        <v>1072</v>
      </c>
    </row>
    <row r="8" spans="1:10" ht="56.25" customHeight="1">
      <c r="A8" s="3240"/>
      <c r="B8" s="3231"/>
      <c r="C8" s="3245"/>
      <c r="D8" s="3245"/>
      <c r="E8" s="3261"/>
      <c r="F8" s="252">
        <v>2320</v>
      </c>
      <c r="G8" s="253">
        <v>200000</v>
      </c>
      <c r="H8" s="254"/>
      <c r="I8" s="255" t="s">
        <v>1073</v>
      </c>
    </row>
    <row r="9" spans="1:10" ht="48" customHeight="1">
      <c r="A9" s="3240"/>
      <c r="B9" s="3231"/>
      <c r="C9" s="3245"/>
      <c r="D9" s="3245"/>
      <c r="E9" s="3261"/>
      <c r="F9" s="252">
        <v>6610</v>
      </c>
      <c r="G9" s="253"/>
      <c r="H9" s="254">
        <v>5690000</v>
      </c>
      <c r="I9" s="255" t="s">
        <v>1074</v>
      </c>
    </row>
    <row r="10" spans="1:10" ht="61.5" customHeight="1" thickBot="1">
      <c r="A10" s="3241"/>
      <c r="B10" s="3231"/>
      <c r="C10" s="3246"/>
      <c r="D10" s="3246"/>
      <c r="E10" s="3262"/>
      <c r="F10" s="277">
        <v>6620</v>
      </c>
      <c r="G10" s="278"/>
      <c r="H10" s="279">
        <v>200000</v>
      </c>
      <c r="I10" s="265" t="s">
        <v>1075</v>
      </c>
    </row>
    <row r="11" spans="1:10" ht="33.75" customHeight="1" thickBot="1">
      <c r="A11" s="282">
        <v>2</v>
      </c>
      <c r="B11" s="283" t="s">
        <v>138</v>
      </c>
      <c r="C11" s="3227" t="s">
        <v>116</v>
      </c>
      <c r="D11" s="284" t="s">
        <v>117</v>
      </c>
      <c r="E11" s="285">
        <f>SUM(G11:H11)</f>
        <v>350000</v>
      </c>
      <c r="F11" s="286">
        <v>6170</v>
      </c>
      <c r="G11" s="287"/>
      <c r="H11" s="288">
        <v>350000</v>
      </c>
      <c r="I11" s="289" t="s">
        <v>1077</v>
      </c>
      <c r="J11" s="2504"/>
    </row>
    <row r="12" spans="1:10" ht="62.25" customHeight="1" thickBot="1">
      <c r="A12" s="290">
        <v>3</v>
      </c>
      <c r="B12" s="291" t="s">
        <v>139</v>
      </c>
      <c r="C12" s="3228"/>
      <c r="D12" s="292" t="s">
        <v>118</v>
      </c>
      <c r="E12" s="293">
        <f>SUM(G12:H12)</f>
        <v>150000</v>
      </c>
      <c r="F12" s="294">
        <v>6170</v>
      </c>
      <c r="G12" s="295"/>
      <c r="H12" s="296">
        <v>150000</v>
      </c>
      <c r="I12" s="297" t="s">
        <v>1078</v>
      </c>
      <c r="J12" s="2504"/>
    </row>
    <row r="13" spans="1:10" ht="64.5" customHeight="1" thickBot="1">
      <c r="A13" s="282">
        <v>4</v>
      </c>
      <c r="B13" s="283" t="s">
        <v>140</v>
      </c>
      <c r="C13" s="3229"/>
      <c r="D13" s="284" t="s">
        <v>119</v>
      </c>
      <c r="E13" s="285">
        <f>SUM(G13:H13)</f>
        <v>300000</v>
      </c>
      <c r="F13" s="286">
        <v>6170</v>
      </c>
      <c r="G13" s="287"/>
      <c r="H13" s="288">
        <v>300000</v>
      </c>
      <c r="I13" s="289" t="s">
        <v>1079</v>
      </c>
      <c r="J13" s="2504"/>
    </row>
    <row r="14" spans="1:10" ht="152.25" customHeight="1" thickBot="1">
      <c r="A14" s="275">
        <v>5</v>
      </c>
      <c r="B14" s="2282" t="s">
        <v>161</v>
      </c>
      <c r="C14" s="257">
        <v>851</v>
      </c>
      <c r="D14" s="257">
        <v>85111</v>
      </c>
      <c r="E14" s="2298">
        <f>SUM(G14:H18)</f>
        <v>29913092</v>
      </c>
      <c r="F14" s="2294">
        <v>6220</v>
      </c>
      <c r="G14" s="2280"/>
      <c r="H14" s="2281">
        <f>686241+1674360+398680+598020+706017</f>
        <v>4063318</v>
      </c>
      <c r="I14" s="274" t="s">
        <v>1113</v>
      </c>
      <c r="J14" s="123"/>
    </row>
    <row r="15" spans="1:10" ht="121.5" customHeight="1" thickBot="1">
      <c r="A15" s="2295">
        <v>6</v>
      </c>
      <c r="B15" s="233" t="s">
        <v>107</v>
      </c>
      <c r="C15" s="3213">
        <v>851</v>
      </c>
      <c r="D15" s="3213">
        <v>85111</v>
      </c>
      <c r="E15" s="3219" t="s">
        <v>174</v>
      </c>
      <c r="F15" s="2276">
        <v>6220</v>
      </c>
      <c r="G15" s="2480"/>
      <c r="H15" s="2277">
        <f>4243777+5689599+2896777</f>
        <v>12830153</v>
      </c>
      <c r="I15" s="270" t="s">
        <v>1080</v>
      </c>
      <c r="J15" s="123"/>
    </row>
    <row r="16" spans="1:10" ht="118.5" customHeight="1" thickBot="1">
      <c r="A16" s="2296">
        <v>7</v>
      </c>
      <c r="B16" s="2481" t="s">
        <v>152</v>
      </c>
      <c r="C16" s="3214"/>
      <c r="D16" s="3214"/>
      <c r="E16" s="3223"/>
      <c r="F16" s="276">
        <v>6220</v>
      </c>
      <c r="G16" s="2280"/>
      <c r="H16" s="2281">
        <f>4881780+586800+653800+1400000</f>
        <v>7522380</v>
      </c>
      <c r="I16" s="274" t="s">
        <v>1114</v>
      </c>
      <c r="J16" s="217"/>
    </row>
    <row r="17" spans="1:14" ht="59.25" customHeight="1" thickBot="1">
      <c r="A17" s="275">
        <v>8</v>
      </c>
      <c r="B17" s="2282" t="s">
        <v>1081</v>
      </c>
      <c r="C17" s="3214"/>
      <c r="D17" s="3214"/>
      <c r="E17" s="3223"/>
      <c r="F17" s="2278">
        <v>6220</v>
      </c>
      <c r="G17" s="2482"/>
      <c r="H17" s="2483">
        <f>488900+1194383</f>
        <v>1683283</v>
      </c>
      <c r="I17" s="281" t="s">
        <v>1115</v>
      </c>
      <c r="J17" s="217"/>
    </row>
    <row r="18" spans="1:14" ht="74.25" customHeight="1" thickBot="1">
      <c r="A18" s="280">
        <v>9</v>
      </c>
      <c r="B18" s="2479" t="s">
        <v>153</v>
      </c>
      <c r="C18" s="3214"/>
      <c r="D18" s="3215"/>
      <c r="E18" s="3220"/>
      <c r="F18" s="2278">
        <v>6220</v>
      </c>
      <c r="G18" s="2482"/>
      <c r="H18" s="2279">
        <f>1274260+1141933+1397765</f>
        <v>3813958</v>
      </c>
      <c r="I18" s="281" t="s">
        <v>1267</v>
      </c>
      <c r="J18" s="217"/>
    </row>
    <row r="19" spans="1:14" ht="64.5" customHeight="1" thickBot="1">
      <c r="A19" s="314">
        <v>10</v>
      </c>
      <c r="B19" s="2478" t="s">
        <v>186</v>
      </c>
      <c r="C19" s="3214"/>
      <c r="D19" s="3213">
        <v>85120</v>
      </c>
      <c r="E19" s="3218">
        <f>SUM(G19:H20)</f>
        <v>5142046</v>
      </c>
      <c r="F19" s="276">
        <v>6220</v>
      </c>
      <c r="G19" s="2280"/>
      <c r="H19" s="2303">
        <f>3100000+642886</f>
        <v>3742886</v>
      </c>
      <c r="I19" s="274" t="s">
        <v>1082</v>
      </c>
      <c r="J19" s="217"/>
    </row>
    <row r="20" spans="1:14" ht="84" customHeight="1" thickBot="1">
      <c r="A20" s="2304">
        <v>11</v>
      </c>
      <c r="B20" s="2305" t="s">
        <v>154</v>
      </c>
      <c r="C20" s="3215"/>
      <c r="D20" s="3215"/>
      <c r="E20" s="3217"/>
      <c r="F20" s="276">
        <v>6220</v>
      </c>
      <c r="G20" s="2280"/>
      <c r="H20" s="2303">
        <f>1099340+299820</f>
        <v>1399160</v>
      </c>
      <c r="I20" s="274" t="s">
        <v>1083</v>
      </c>
      <c r="J20" s="217"/>
    </row>
    <row r="21" spans="1:14" ht="111" customHeight="1" thickBot="1">
      <c r="A21" s="760">
        <v>12</v>
      </c>
      <c r="B21" s="2299" t="s">
        <v>135</v>
      </c>
      <c r="C21" s="3213">
        <v>851</v>
      </c>
      <c r="D21" s="3214">
        <v>85121</v>
      </c>
      <c r="E21" s="3216">
        <f>SUM(G21:H22)</f>
        <v>1019652</v>
      </c>
      <c r="F21" s="2300">
        <v>6220</v>
      </c>
      <c r="G21" s="2301"/>
      <c r="H21" s="2302">
        <f>162876+162876+193900</f>
        <v>519652</v>
      </c>
      <c r="I21" s="2297" t="s">
        <v>1084</v>
      </c>
      <c r="J21" s="2"/>
      <c r="K21" s="179"/>
      <c r="L21" s="179"/>
      <c r="M21" s="179"/>
      <c r="N21" s="179"/>
    </row>
    <row r="22" spans="1:14" ht="62.25" customHeight="1" thickBot="1">
      <c r="A22" s="759">
        <v>13</v>
      </c>
      <c r="B22" s="269" t="s">
        <v>1085</v>
      </c>
      <c r="C22" s="3214"/>
      <c r="D22" s="3215"/>
      <c r="E22" s="3217"/>
      <c r="F22" s="2283">
        <v>6220</v>
      </c>
      <c r="G22" s="2284"/>
      <c r="H22" s="2285">
        <v>500000</v>
      </c>
      <c r="I22" s="270" t="s">
        <v>1086</v>
      </c>
      <c r="J22" s="2"/>
      <c r="K22" s="179"/>
      <c r="L22" s="179"/>
      <c r="M22" s="179"/>
      <c r="N22" s="179"/>
    </row>
    <row r="23" spans="1:14" ht="34.5" customHeight="1" thickBot="1">
      <c r="A23" s="266">
        <v>14</v>
      </c>
      <c r="B23" s="271" t="s">
        <v>173</v>
      </c>
      <c r="C23" s="3214"/>
      <c r="D23" s="3213">
        <v>85141</v>
      </c>
      <c r="E23" s="3218">
        <f>SUM(G23:H24)</f>
        <v>788000</v>
      </c>
      <c r="F23" s="268">
        <v>6220</v>
      </c>
      <c r="G23" s="272"/>
      <c r="H23" s="273">
        <v>500000</v>
      </c>
      <c r="I23" s="274" t="s">
        <v>1087</v>
      </c>
      <c r="J23" s="2"/>
      <c r="K23" s="179"/>
      <c r="L23" s="179"/>
      <c r="M23" s="179"/>
      <c r="N23" s="179"/>
    </row>
    <row r="24" spans="1:14" ht="84" customHeight="1" thickBot="1">
      <c r="A24" s="266">
        <v>15</v>
      </c>
      <c r="B24" s="271" t="s">
        <v>959</v>
      </c>
      <c r="C24" s="3214"/>
      <c r="D24" s="3215"/>
      <c r="E24" s="3217"/>
      <c r="F24" s="268">
        <v>6220</v>
      </c>
      <c r="G24" s="720"/>
      <c r="H24" s="721">
        <v>288000</v>
      </c>
      <c r="I24" s="274" t="s">
        <v>1088</v>
      </c>
      <c r="J24" s="2"/>
      <c r="K24" s="179"/>
      <c r="L24" s="179"/>
      <c r="M24" s="179"/>
      <c r="N24" s="179"/>
    </row>
    <row r="25" spans="1:14" ht="62.25" customHeight="1" thickBot="1">
      <c r="A25" s="266">
        <v>16</v>
      </c>
      <c r="B25" s="271" t="s">
        <v>187</v>
      </c>
      <c r="C25" s="3215"/>
      <c r="D25" s="257">
        <v>85148</v>
      </c>
      <c r="E25" s="267">
        <f>SUM(G25:H25)</f>
        <v>76000</v>
      </c>
      <c r="F25" s="268">
        <v>6220</v>
      </c>
      <c r="G25" s="272"/>
      <c r="H25" s="273">
        <v>76000</v>
      </c>
      <c r="I25" s="274" t="s">
        <v>1089</v>
      </c>
      <c r="J25" s="2"/>
      <c r="K25" s="179"/>
      <c r="L25" s="179"/>
      <c r="M25" s="179"/>
      <c r="N25" s="179"/>
    </row>
    <row r="26" spans="1:14" ht="153.75" customHeight="1">
      <c r="A26" s="3242">
        <v>17</v>
      </c>
      <c r="B26" s="3211" t="s">
        <v>162</v>
      </c>
      <c r="C26" s="3213">
        <v>921</v>
      </c>
      <c r="D26" s="3213">
        <v>92106</v>
      </c>
      <c r="E26" s="3219">
        <f>SUM(G26:H27)</f>
        <v>3669084</v>
      </c>
      <c r="F26" s="2310">
        <v>2800</v>
      </c>
      <c r="G26" s="2311">
        <f>250000+100000+300000+300000+50000+200000</f>
        <v>1200000</v>
      </c>
      <c r="H26" s="2311"/>
      <c r="I26" s="260" t="s">
        <v>1090</v>
      </c>
      <c r="K26" s="179"/>
      <c r="L26" s="179"/>
      <c r="M26" s="179"/>
      <c r="N26" s="179"/>
    </row>
    <row r="27" spans="1:14" ht="99.75" customHeight="1" thickBot="1">
      <c r="A27" s="3243"/>
      <c r="B27" s="3212"/>
      <c r="C27" s="3215"/>
      <c r="D27" s="3215"/>
      <c r="E27" s="3220"/>
      <c r="F27" s="2312">
        <v>6220</v>
      </c>
      <c r="G27" s="2313"/>
      <c r="H27" s="2314">
        <f>1220000+1249084</f>
        <v>2469084</v>
      </c>
      <c r="I27" s="2315" t="s">
        <v>1091</v>
      </c>
      <c r="K27" s="179"/>
      <c r="L27" s="179"/>
      <c r="M27" s="179"/>
      <c r="N27" s="179"/>
    </row>
    <row r="28" spans="1:14" ht="44.25" customHeight="1" thickBot="1">
      <c r="A28" s="761">
        <v>18</v>
      </c>
      <c r="B28" s="763" t="s">
        <v>141</v>
      </c>
      <c r="C28" s="3213">
        <v>921</v>
      </c>
      <c r="D28" s="758">
        <v>92108</v>
      </c>
      <c r="E28" s="764">
        <f t="shared" ref="E28" si="0">SUM(G28:H28)</f>
        <v>150000</v>
      </c>
      <c r="F28" s="2306">
        <v>2800</v>
      </c>
      <c r="G28" s="2307">
        <v>150000</v>
      </c>
      <c r="H28" s="2308"/>
      <c r="I28" s="2309" t="s">
        <v>1092</v>
      </c>
      <c r="K28" s="179"/>
      <c r="L28" s="179"/>
      <c r="M28" s="179"/>
      <c r="N28" s="179"/>
    </row>
    <row r="29" spans="1:14" ht="90" customHeight="1">
      <c r="A29" s="3242">
        <v>19</v>
      </c>
      <c r="B29" s="3211" t="s">
        <v>142</v>
      </c>
      <c r="C29" s="3214"/>
      <c r="D29" s="3213">
        <v>92109</v>
      </c>
      <c r="E29" s="3219">
        <f>SUM(G29:H32)</f>
        <v>1483851</v>
      </c>
      <c r="F29" s="263">
        <v>2800</v>
      </c>
      <c r="G29" s="258">
        <f>25000+20000+40000+41701</f>
        <v>126701</v>
      </c>
      <c r="H29" s="259"/>
      <c r="I29" s="260" t="s">
        <v>1093</v>
      </c>
      <c r="J29" s="2"/>
      <c r="K29" s="179"/>
      <c r="L29" s="179"/>
      <c r="M29" s="179"/>
      <c r="N29" s="179"/>
    </row>
    <row r="30" spans="1:14" ht="122.25" customHeight="1" thickBot="1">
      <c r="A30" s="3243"/>
      <c r="B30" s="3212"/>
      <c r="C30" s="3214"/>
      <c r="D30" s="3214"/>
      <c r="E30" s="3223"/>
      <c r="F30" s="264">
        <v>6220</v>
      </c>
      <c r="G30" s="261"/>
      <c r="H30" s="262">
        <f>600000+80000+30000+15000+60000+9000</f>
        <v>794000</v>
      </c>
      <c r="I30" s="231" t="s">
        <v>1094</v>
      </c>
      <c r="K30" s="179"/>
      <c r="L30" s="179"/>
      <c r="M30" s="179"/>
      <c r="N30" s="179"/>
    </row>
    <row r="31" spans="1:14" ht="170.25" customHeight="1">
      <c r="A31" s="3232">
        <v>20</v>
      </c>
      <c r="B31" s="3221" t="s">
        <v>47</v>
      </c>
      <c r="C31" s="3214"/>
      <c r="D31" s="3214"/>
      <c r="E31" s="3223"/>
      <c r="F31" s="228">
        <v>2800</v>
      </c>
      <c r="G31" s="226">
        <f>50000+40000+40000+160000+30000+200150</f>
        <v>520150</v>
      </c>
      <c r="H31" s="321"/>
      <c r="I31" s="366" t="s">
        <v>1096</v>
      </c>
      <c r="J31" s="2"/>
      <c r="K31" s="328"/>
      <c r="L31" s="179"/>
      <c r="M31" s="179"/>
      <c r="N31" s="179"/>
    </row>
    <row r="32" spans="1:14" ht="51" customHeight="1" thickBot="1">
      <c r="A32" s="3238"/>
      <c r="B32" s="3222"/>
      <c r="C32" s="3214"/>
      <c r="D32" s="3215"/>
      <c r="E32" s="3220"/>
      <c r="F32" s="725">
        <v>6220</v>
      </c>
      <c r="G32" s="726"/>
      <c r="H32" s="727">
        <v>43000</v>
      </c>
      <c r="I32" s="728" t="s">
        <v>1095</v>
      </c>
      <c r="J32" s="2"/>
      <c r="K32" s="179"/>
      <c r="L32" s="179"/>
      <c r="M32" s="179"/>
      <c r="N32" s="179"/>
    </row>
    <row r="33" spans="1:14" ht="103.5" customHeight="1">
      <c r="A33" s="3232">
        <v>21</v>
      </c>
      <c r="B33" s="3209" t="s">
        <v>42</v>
      </c>
      <c r="C33" s="3214"/>
      <c r="D33" s="3234">
        <v>92114</v>
      </c>
      <c r="E33" s="3263">
        <f>SUM(G33:H34)</f>
        <v>600987</v>
      </c>
      <c r="F33" s="729">
        <v>2800</v>
      </c>
      <c r="G33" s="730">
        <f>13000+15000+92987</f>
        <v>120987</v>
      </c>
      <c r="H33" s="731"/>
      <c r="I33" s="366" t="s">
        <v>1112</v>
      </c>
      <c r="K33" s="179"/>
      <c r="L33" s="179"/>
      <c r="M33" s="179"/>
      <c r="N33" s="179"/>
    </row>
    <row r="34" spans="1:14" ht="49.5" customHeight="1" thickBot="1">
      <c r="A34" s="3233"/>
      <c r="B34" s="3210"/>
      <c r="C34" s="3215"/>
      <c r="D34" s="3235"/>
      <c r="E34" s="3264"/>
      <c r="F34" s="2316">
        <v>6220</v>
      </c>
      <c r="G34" s="2286"/>
      <c r="H34" s="2287">
        <f>75000+405000</f>
        <v>480000</v>
      </c>
      <c r="I34" s="231" t="s">
        <v>1097</v>
      </c>
      <c r="K34" s="179"/>
      <c r="L34" s="179"/>
      <c r="M34" s="179"/>
      <c r="N34" s="179"/>
    </row>
    <row r="35" spans="1:14" ht="69" customHeight="1">
      <c r="A35" s="3232">
        <v>22</v>
      </c>
      <c r="B35" s="3221" t="s">
        <v>143</v>
      </c>
      <c r="C35" s="3213">
        <v>921</v>
      </c>
      <c r="D35" s="3213">
        <v>92116</v>
      </c>
      <c r="E35" s="3256">
        <f>SUM(G35:H36)</f>
        <v>456000</v>
      </c>
      <c r="F35" s="729">
        <v>2800</v>
      </c>
      <c r="G35" s="730">
        <f>30000+78000</f>
        <v>108000</v>
      </c>
      <c r="H35" s="731"/>
      <c r="I35" s="2476" t="s">
        <v>1111</v>
      </c>
      <c r="K35" s="179"/>
      <c r="L35" s="179"/>
      <c r="M35" s="179"/>
      <c r="N35" s="179"/>
    </row>
    <row r="36" spans="1:14" ht="85.5" customHeight="1" thickBot="1">
      <c r="A36" s="3233"/>
      <c r="B36" s="3258"/>
      <c r="C36" s="3214"/>
      <c r="D36" s="3215"/>
      <c r="E36" s="3257"/>
      <c r="F36" s="2316">
        <v>6220</v>
      </c>
      <c r="G36" s="2286"/>
      <c r="H36" s="2287">
        <f>283000+65000</f>
        <v>348000</v>
      </c>
      <c r="I36" s="2477" t="s">
        <v>1098</v>
      </c>
      <c r="K36" s="179"/>
      <c r="L36" s="179"/>
      <c r="M36" s="179"/>
      <c r="N36" s="179"/>
    </row>
    <row r="37" spans="1:14" ht="42" customHeight="1">
      <c r="A37" s="3232">
        <v>23</v>
      </c>
      <c r="B37" s="3236" t="s">
        <v>54</v>
      </c>
      <c r="C37" s="3214"/>
      <c r="D37" s="3213">
        <v>92118</v>
      </c>
      <c r="E37" s="3256">
        <f>SUM(G37:H48)</f>
        <v>8230042</v>
      </c>
      <c r="F37" s="729">
        <v>2800</v>
      </c>
      <c r="G37" s="730">
        <f>150000+83000</f>
        <v>233000</v>
      </c>
      <c r="H37" s="731"/>
      <c r="I37" s="2476" t="s">
        <v>1071</v>
      </c>
      <c r="K37" s="179"/>
      <c r="L37" s="179"/>
      <c r="M37" s="179"/>
      <c r="N37" s="179"/>
    </row>
    <row r="38" spans="1:14" ht="68.25" customHeight="1" thickBot="1">
      <c r="A38" s="3233"/>
      <c r="B38" s="3237"/>
      <c r="C38" s="3214"/>
      <c r="D38" s="3214"/>
      <c r="E38" s="3259"/>
      <c r="F38" s="2316">
        <v>6220</v>
      </c>
      <c r="G38" s="2286"/>
      <c r="H38" s="2287">
        <f>180000+980321</f>
        <v>1160321</v>
      </c>
      <c r="I38" s="2477" t="s">
        <v>1105</v>
      </c>
      <c r="K38" s="179"/>
      <c r="L38" s="179"/>
      <c r="M38" s="179"/>
      <c r="N38" s="179"/>
    </row>
    <row r="39" spans="1:14" ht="108" customHeight="1">
      <c r="A39" s="3232">
        <v>24</v>
      </c>
      <c r="B39" s="3236" t="s">
        <v>167</v>
      </c>
      <c r="C39" s="3214"/>
      <c r="D39" s="3214"/>
      <c r="E39" s="3259"/>
      <c r="F39" s="729">
        <v>2800</v>
      </c>
      <c r="G39" s="730">
        <f>3698+47067</f>
        <v>50765</v>
      </c>
      <c r="H39" s="731"/>
      <c r="I39" s="2476" t="s">
        <v>1099</v>
      </c>
      <c r="K39" s="179"/>
      <c r="L39" s="179"/>
      <c r="M39" s="179"/>
      <c r="N39" s="179"/>
    </row>
    <row r="40" spans="1:14" ht="77.25" thickBot="1">
      <c r="A40" s="3233"/>
      <c r="B40" s="3237"/>
      <c r="C40" s="3214"/>
      <c r="D40" s="3214"/>
      <c r="E40" s="3259"/>
      <c r="F40" s="2316">
        <v>6220</v>
      </c>
      <c r="G40" s="2286"/>
      <c r="H40" s="2287">
        <v>3557337</v>
      </c>
      <c r="I40" s="2477" t="s">
        <v>1102</v>
      </c>
      <c r="K40" s="179"/>
      <c r="L40" s="179"/>
      <c r="M40" s="179"/>
      <c r="N40" s="179"/>
    </row>
    <row r="41" spans="1:14" ht="25.5">
      <c r="A41" s="3247">
        <v>25</v>
      </c>
      <c r="B41" s="3236" t="s">
        <v>168</v>
      </c>
      <c r="C41" s="3214"/>
      <c r="D41" s="3214"/>
      <c r="E41" s="3259"/>
      <c r="F41" s="2484">
        <v>2800</v>
      </c>
      <c r="G41" s="2485">
        <v>152908</v>
      </c>
      <c r="H41" s="2486"/>
      <c r="I41" s="2487" t="s">
        <v>1104</v>
      </c>
      <c r="K41" s="179"/>
      <c r="L41" s="179"/>
      <c r="M41" s="179"/>
      <c r="N41" s="179"/>
    </row>
    <row r="42" spans="1:14" ht="146.25" customHeight="1" thickBot="1">
      <c r="A42" s="3248"/>
      <c r="B42" s="3237"/>
      <c r="C42" s="3215"/>
      <c r="D42" s="3215"/>
      <c r="E42" s="3257"/>
      <c r="F42" s="264">
        <v>6220</v>
      </c>
      <c r="G42" s="2286"/>
      <c r="H42" s="2287">
        <f>325000+52000+683522+89223</f>
        <v>1149745</v>
      </c>
      <c r="I42" s="2477" t="s">
        <v>1103</v>
      </c>
      <c r="K42" s="179"/>
      <c r="L42" s="179"/>
      <c r="M42" s="179"/>
      <c r="N42" s="179"/>
    </row>
    <row r="43" spans="1:14" ht="96" customHeight="1" thickBot="1">
      <c r="A43" s="724">
        <v>26</v>
      </c>
      <c r="B43" s="722" t="s">
        <v>1106</v>
      </c>
      <c r="C43" s="3213">
        <v>921</v>
      </c>
      <c r="D43" s="3213">
        <v>92118</v>
      </c>
      <c r="E43" s="3256" t="s">
        <v>174</v>
      </c>
      <c r="F43" s="732">
        <v>6220</v>
      </c>
      <c r="G43" s="733"/>
      <c r="H43" s="734">
        <f>1118000+100000+26000</f>
        <v>1244000</v>
      </c>
      <c r="I43" s="723" t="s">
        <v>1107</v>
      </c>
      <c r="J43" s="2"/>
      <c r="K43" s="179"/>
      <c r="L43" s="179"/>
      <c r="M43" s="179"/>
      <c r="N43" s="179"/>
    </row>
    <row r="44" spans="1:14" ht="78.75" customHeight="1" thickBot="1">
      <c r="A44" s="256">
        <v>27</v>
      </c>
      <c r="B44" s="2288" t="s">
        <v>169</v>
      </c>
      <c r="C44" s="3214"/>
      <c r="D44" s="3214"/>
      <c r="E44" s="3259"/>
      <c r="F44" s="2289">
        <v>6220</v>
      </c>
      <c r="G44" s="2290"/>
      <c r="H44" s="2291">
        <f>164000+227966</f>
        <v>391966</v>
      </c>
      <c r="I44" s="2292" t="s">
        <v>1108</v>
      </c>
      <c r="J44" s="2"/>
      <c r="K44" s="179"/>
      <c r="L44" s="179"/>
      <c r="M44" s="179"/>
      <c r="N44" s="179"/>
    </row>
    <row r="45" spans="1:14" ht="60" customHeight="1">
      <c r="A45" s="3247">
        <v>28</v>
      </c>
      <c r="B45" s="3221" t="s">
        <v>144</v>
      </c>
      <c r="C45" s="3214"/>
      <c r="D45" s="3214"/>
      <c r="E45" s="3259"/>
      <c r="F45" s="298">
        <v>2800</v>
      </c>
      <c r="G45" s="299">
        <f>40000+30000</f>
        <v>70000</v>
      </c>
      <c r="H45" s="300"/>
      <c r="I45" s="339" t="s">
        <v>1100</v>
      </c>
      <c r="J45" s="2"/>
      <c r="K45" s="179"/>
      <c r="L45" s="179"/>
      <c r="M45" s="179"/>
      <c r="N45" s="179"/>
    </row>
    <row r="46" spans="1:14" ht="38.25" customHeight="1" thickBot="1">
      <c r="A46" s="3248"/>
      <c r="B46" s="3258"/>
      <c r="C46" s="3214"/>
      <c r="D46" s="3214"/>
      <c r="E46" s="3259"/>
      <c r="F46" s="2293">
        <v>6220</v>
      </c>
      <c r="G46" s="2286"/>
      <c r="H46" s="2287">
        <v>120000</v>
      </c>
      <c r="I46" s="762" t="s">
        <v>1110</v>
      </c>
      <c r="J46" s="2"/>
      <c r="K46" s="179"/>
      <c r="L46" s="179"/>
      <c r="M46" s="179"/>
      <c r="N46" s="179"/>
    </row>
    <row r="47" spans="1:14" ht="44.25" customHeight="1">
      <c r="A47" s="3232">
        <v>29</v>
      </c>
      <c r="B47" s="3221" t="s">
        <v>50</v>
      </c>
      <c r="C47" s="3214"/>
      <c r="D47" s="3214"/>
      <c r="E47" s="3259"/>
      <c r="F47" s="305">
        <v>2800</v>
      </c>
      <c r="G47" s="306">
        <v>25000</v>
      </c>
      <c r="H47" s="307"/>
      <c r="I47" s="308" t="s">
        <v>1101</v>
      </c>
      <c r="K47" s="179"/>
      <c r="L47" s="179"/>
      <c r="M47" s="179"/>
      <c r="N47" s="179"/>
    </row>
    <row r="48" spans="1:14" ht="58.5" customHeight="1" thickBot="1">
      <c r="A48" s="3233"/>
      <c r="B48" s="3258"/>
      <c r="C48" s="3215"/>
      <c r="D48" s="3215"/>
      <c r="E48" s="3257"/>
      <c r="F48" s="264">
        <v>6220</v>
      </c>
      <c r="G48" s="261"/>
      <c r="H48" s="262">
        <f>50000+25000</f>
        <v>75000</v>
      </c>
      <c r="I48" s="232" t="s">
        <v>1109</v>
      </c>
      <c r="J48" s="2"/>
      <c r="K48" s="328"/>
      <c r="L48" s="179"/>
      <c r="M48" s="179"/>
      <c r="N48" s="179"/>
    </row>
    <row r="49" spans="1:14" ht="31.5" customHeight="1" thickBot="1">
      <c r="A49" s="3224" t="s">
        <v>22</v>
      </c>
      <c r="B49" s="3225"/>
      <c r="C49" s="3226"/>
      <c r="D49" s="3226"/>
      <c r="E49" s="127">
        <f>SUM(E7:E48)</f>
        <v>61418754</v>
      </c>
      <c r="F49" s="301"/>
      <c r="G49" s="302">
        <f>SUM(G7:G48)</f>
        <v>5957511</v>
      </c>
      <c r="H49" s="303">
        <f>SUM(H7:H48)</f>
        <v>55461243</v>
      </c>
      <c r="I49" s="304"/>
      <c r="K49" s="179"/>
      <c r="L49" s="179"/>
      <c r="M49" s="179"/>
      <c r="N49" s="179"/>
    </row>
    <row r="50" spans="1:14">
      <c r="G50" s="2"/>
      <c r="H50" s="2"/>
      <c r="K50" s="179"/>
      <c r="L50" s="179"/>
      <c r="M50" s="179"/>
      <c r="N50" s="179"/>
    </row>
    <row r="51" spans="1:14">
      <c r="E51" s="2"/>
      <c r="G51" s="2"/>
      <c r="H51" s="2"/>
      <c r="K51" s="179"/>
      <c r="L51" s="179"/>
      <c r="M51" s="179"/>
      <c r="N51" s="179"/>
    </row>
    <row r="52" spans="1:14">
      <c r="G52" s="2"/>
      <c r="K52" s="179"/>
      <c r="L52" s="179"/>
      <c r="M52" s="179"/>
      <c r="N52" s="179"/>
    </row>
    <row r="53" spans="1:14">
      <c r="G53" s="2"/>
      <c r="H53" s="2"/>
      <c r="K53" s="179"/>
      <c r="L53" s="179"/>
      <c r="M53" s="179"/>
      <c r="N53" s="179"/>
    </row>
    <row r="54" spans="1:14">
      <c r="K54" s="179"/>
      <c r="L54" s="179"/>
      <c r="M54" s="179"/>
      <c r="N54" s="179"/>
    </row>
    <row r="55" spans="1:14">
      <c r="G55" s="2"/>
      <c r="H55" s="2"/>
      <c r="K55" s="179"/>
      <c r="L55" s="179"/>
      <c r="M55" s="179"/>
      <c r="N55" s="179"/>
    </row>
    <row r="56" spans="1:14">
      <c r="G56" s="2"/>
      <c r="H56" s="2"/>
      <c r="K56" s="179"/>
      <c r="L56" s="179"/>
      <c r="M56" s="179"/>
      <c r="N56" s="179"/>
    </row>
    <row r="57" spans="1:14" ht="82.5" customHeight="1">
      <c r="G57" s="2"/>
      <c r="H57" s="2"/>
      <c r="K57" s="179"/>
      <c r="L57" s="179"/>
      <c r="M57" s="179"/>
      <c r="N57" s="179"/>
    </row>
    <row r="58" spans="1:14">
      <c r="H58" s="2"/>
    </row>
  </sheetData>
  <mergeCells count="65">
    <mergeCell ref="E7:E10"/>
    <mergeCell ref="E33:E34"/>
    <mergeCell ref="E19:E20"/>
    <mergeCell ref="D26:D27"/>
    <mergeCell ref="D19:D20"/>
    <mergeCell ref="D23:D24"/>
    <mergeCell ref="D21:D22"/>
    <mergeCell ref="E29:E32"/>
    <mergeCell ref="A47:A48"/>
    <mergeCell ref="E35:E36"/>
    <mergeCell ref="A35:A36"/>
    <mergeCell ref="B39:B40"/>
    <mergeCell ref="A39:A40"/>
    <mergeCell ref="B47:B48"/>
    <mergeCell ref="D35:D36"/>
    <mergeCell ref="B35:B36"/>
    <mergeCell ref="E43:E48"/>
    <mergeCell ref="D43:D48"/>
    <mergeCell ref="C43:C48"/>
    <mergeCell ref="A45:A46"/>
    <mergeCell ref="B45:B46"/>
    <mergeCell ref="C35:C42"/>
    <mergeCell ref="D37:D42"/>
    <mergeCell ref="E37:E42"/>
    <mergeCell ref="A1:C1"/>
    <mergeCell ref="A2:I2"/>
    <mergeCell ref="A4:A6"/>
    <mergeCell ref="B4:B6"/>
    <mergeCell ref="C4:C6"/>
    <mergeCell ref="D4:D6"/>
    <mergeCell ref="E4:E6"/>
    <mergeCell ref="F4:F6"/>
    <mergeCell ref="G4:H4"/>
    <mergeCell ref="I4:I6"/>
    <mergeCell ref="G5:G6"/>
    <mergeCell ref="H5:H6"/>
    <mergeCell ref="A49:D49"/>
    <mergeCell ref="C11:C13"/>
    <mergeCell ref="B7:B10"/>
    <mergeCell ref="A33:A34"/>
    <mergeCell ref="D33:D34"/>
    <mergeCell ref="A37:A38"/>
    <mergeCell ref="B37:B38"/>
    <mergeCell ref="D15:D18"/>
    <mergeCell ref="A31:A32"/>
    <mergeCell ref="A7:A10"/>
    <mergeCell ref="A26:A27"/>
    <mergeCell ref="A29:A30"/>
    <mergeCell ref="C7:C10"/>
    <mergeCell ref="B41:B42"/>
    <mergeCell ref="A41:A42"/>
    <mergeCell ref="D7:D10"/>
    <mergeCell ref="B33:B34"/>
    <mergeCell ref="B29:B30"/>
    <mergeCell ref="C15:C20"/>
    <mergeCell ref="C21:C25"/>
    <mergeCell ref="E21:E22"/>
    <mergeCell ref="E23:E24"/>
    <mergeCell ref="E26:E27"/>
    <mergeCell ref="C26:C27"/>
    <mergeCell ref="D29:D32"/>
    <mergeCell ref="B26:B27"/>
    <mergeCell ref="B31:B32"/>
    <mergeCell ref="E15:E18"/>
    <mergeCell ref="C28:C3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Strona &amp;P z &amp;N</oddFooter>
  </headerFooter>
  <rowBreaks count="2" manualBreakCount="2">
    <brk id="20" max="8" man="1"/>
    <brk id="27" max="8" man="1"/>
  </rowBreaks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H150"/>
  <sheetViews>
    <sheetView view="pageBreakPreview" topLeftCell="A16" zoomScaleSheetLayoutView="100" workbookViewId="0">
      <selection activeCell="G26" sqref="G26"/>
    </sheetView>
  </sheetViews>
  <sheetFormatPr defaultRowHeight="12.75"/>
  <cols>
    <col min="1" max="1" width="4.140625" style="1" bestFit="1" customWidth="1"/>
    <col min="2" max="2" width="7.7109375" style="1" customWidth="1"/>
    <col min="3" max="5" width="12.7109375" style="1" customWidth="1"/>
    <col min="6" max="6" width="12.5703125" style="1" customWidth="1"/>
    <col min="7" max="7" width="11.5703125" style="1" bestFit="1" customWidth="1"/>
    <col min="8" max="8" width="82.28515625" style="1" customWidth="1"/>
    <col min="9" max="259" width="9.140625" style="1"/>
    <col min="260" max="260" width="7.140625" style="1" customWidth="1"/>
    <col min="261" max="261" width="10.42578125" style="1" customWidth="1"/>
    <col min="262" max="262" width="12.85546875" style="1" customWidth="1"/>
    <col min="263" max="263" width="13.140625" style="1" customWidth="1"/>
    <col min="264" max="264" width="61" style="1" customWidth="1"/>
    <col min="265" max="515" width="9.140625" style="1"/>
    <col min="516" max="516" width="7.140625" style="1" customWidth="1"/>
    <col min="517" max="517" width="10.42578125" style="1" customWidth="1"/>
    <col min="518" max="518" width="12.85546875" style="1" customWidth="1"/>
    <col min="519" max="519" width="13.140625" style="1" customWidth="1"/>
    <col min="520" max="520" width="61" style="1" customWidth="1"/>
    <col min="521" max="771" width="9.140625" style="1"/>
    <col min="772" max="772" width="7.140625" style="1" customWidth="1"/>
    <col min="773" max="773" width="10.42578125" style="1" customWidth="1"/>
    <col min="774" max="774" width="12.85546875" style="1" customWidth="1"/>
    <col min="775" max="775" width="13.140625" style="1" customWidth="1"/>
    <col min="776" max="776" width="61" style="1" customWidth="1"/>
    <col min="777" max="1027" width="9.140625" style="1"/>
    <col min="1028" max="1028" width="7.140625" style="1" customWidth="1"/>
    <col min="1029" max="1029" width="10.42578125" style="1" customWidth="1"/>
    <col min="1030" max="1030" width="12.85546875" style="1" customWidth="1"/>
    <col min="1031" max="1031" width="13.140625" style="1" customWidth="1"/>
    <col min="1032" max="1032" width="61" style="1" customWidth="1"/>
    <col min="1033" max="1283" width="9.140625" style="1"/>
    <col min="1284" max="1284" width="7.140625" style="1" customWidth="1"/>
    <col min="1285" max="1285" width="10.42578125" style="1" customWidth="1"/>
    <col min="1286" max="1286" width="12.85546875" style="1" customWidth="1"/>
    <col min="1287" max="1287" width="13.140625" style="1" customWidth="1"/>
    <col min="1288" max="1288" width="61" style="1" customWidth="1"/>
    <col min="1289" max="1539" width="9.140625" style="1"/>
    <col min="1540" max="1540" width="7.140625" style="1" customWidth="1"/>
    <col min="1541" max="1541" width="10.42578125" style="1" customWidth="1"/>
    <col min="1542" max="1542" width="12.85546875" style="1" customWidth="1"/>
    <col min="1543" max="1543" width="13.140625" style="1" customWidth="1"/>
    <col min="1544" max="1544" width="61" style="1" customWidth="1"/>
    <col min="1545" max="1795" width="9.140625" style="1"/>
    <col min="1796" max="1796" width="7.140625" style="1" customWidth="1"/>
    <col min="1797" max="1797" width="10.42578125" style="1" customWidth="1"/>
    <col min="1798" max="1798" width="12.85546875" style="1" customWidth="1"/>
    <col min="1799" max="1799" width="13.140625" style="1" customWidth="1"/>
    <col min="1800" max="1800" width="61" style="1" customWidth="1"/>
    <col min="1801" max="2051" width="9.140625" style="1"/>
    <col min="2052" max="2052" width="7.140625" style="1" customWidth="1"/>
    <col min="2053" max="2053" width="10.42578125" style="1" customWidth="1"/>
    <col min="2054" max="2054" width="12.85546875" style="1" customWidth="1"/>
    <col min="2055" max="2055" width="13.140625" style="1" customWidth="1"/>
    <col min="2056" max="2056" width="61" style="1" customWidth="1"/>
    <col min="2057" max="2307" width="9.140625" style="1"/>
    <col min="2308" max="2308" width="7.140625" style="1" customWidth="1"/>
    <col min="2309" max="2309" width="10.42578125" style="1" customWidth="1"/>
    <col min="2310" max="2310" width="12.85546875" style="1" customWidth="1"/>
    <col min="2311" max="2311" width="13.140625" style="1" customWidth="1"/>
    <col min="2312" max="2312" width="61" style="1" customWidth="1"/>
    <col min="2313" max="2563" width="9.140625" style="1"/>
    <col min="2564" max="2564" width="7.140625" style="1" customWidth="1"/>
    <col min="2565" max="2565" width="10.42578125" style="1" customWidth="1"/>
    <col min="2566" max="2566" width="12.85546875" style="1" customWidth="1"/>
    <col min="2567" max="2567" width="13.140625" style="1" customWidth="1"/>
    <col min="2568" max="2568" width="61" style="1" customWidth="1"/>
    <col min="2569" max="2819" width="9.140625" style="1"/>
    <col min="2820" max="2820" width="7.140625" style="1" customWidth="1"/>
    <col min="2821" max="2821" width="10.42578125" style="1" customWidth="1"/>
    <col min="2822" max="2822" width="12.85546875" style="1" customWidth="1"/>
    <col min="2823" max="2823" width="13.140625" style="1" customWidth="1"/>
    <col min="2824" max="2824" width="61" style="1" customWidth="1"/>
    <col min="2825" max="3075" width="9.140625" style="1"/>
    <col min="3076" max="3076" width="7.140625" style="1" customWidth="1"/>
    <col min="3077" max="3077" width="10.42578125" style="1" customWidth="1"/>
    <col min="3078" max="3078" width="12.85546875" style="1" customWidth="1"/>
    <col min="3079" max="3079" width="13.140625" style="1" customWidth="1"/>
    <col min="3080" max="3080" width="61" style="1" customWidth="1"/>
    <col min="3081" max="3331" width="9.140625" style="1"/>
    <col min="3332" max="3332" width="7.140625" style="1" customWidth="1"/>
    <col min="3333" max="3333" width="10.42578125" style="1" customWidth="1"/>
    <col min="3334" max="3334" width="12.85546875" style="1" customWidth="1"/>
    <col min="3335" max="3335" width="13.140625" style="1" customWidth="1"/>
    <col min="3336" max="3336" width="61" style="1" customWidth="1"/>
    <col min="3337" max="3587" width="9.140625" style="1"/>
    <col min="3588" max="3588" width="7.140625" style="1" customWidth="1"/>
    <col min="3589" max="3589" width="10.42578125" style="1" customWidth="1"/>
    <col min="3590" max="3590" width="12.85546875" style="1" customWidth="1"/>
    <col min="3591" max="3591" width="13.140625" style="1" customWidth="1"/>
    <col min="3592" max="3592" width="61" style="1" customWidth="1"/>
    <col min="3593" max="3843" width="9.140625" style="1"/>
    <col min="3844" max="3844" width="7.140625" style="1" customWidth="1"/>
    <col min="3845" max="3845" width="10.42578125" style="1" customWidth="1"/>
    <col min="3846" max="3846" width="12.85546875" style="1" customWidth="1"/>
    <col min="3847" max="3847" width="13.140625" style="1" customWidth="1"/>
    <col min="3848" max="3848" width="61" style="1" customWidth="1"/>
    <col min="3849" max="4099" width="9.140625" style="1"/>
    <col min="4100" max="4100" width="7.140625" style="1" customWidth="1"/>
    <col min="4101" max="4101" width="10.42578125" style="1" customWidth="1"/>
    <col min="4102" max="4102" width="12.85546875" style="1" customWidth="1"/>
    <col min="4103" max="4103" width="13.140625" style="1" customWidth="1"/>
    <col min="4104" max="4104" width="61" style="1" customWidth="1"/>
    <col min="4105" max="4355" width="9.140625" style="1"/>
    <col min="4356" max="4356" width="7.140625" style="1" customWidth="1"/>
    <col min="4357" max="4357" width="10.42578125" style="1" customWidth="1"/>
    <col min="4358" max="4358" width="12.85546875" style="1" customWidth="1"/>
    <col min="4359" max="4359" width="13.140625" style="1" customWidth="1"/>
    <col min="4360" max="4360" width="61" style="1" customWidth="1"/>
    <col min="4361" max="4611" width="9.140625" style="1"/>
    <col min="4612" max="4612" width="7.140625" style="1" customWidth="1"/>
    <col min="4613" max="4613" width="10.42578125" style="1" customWidth="1"/>
    <col min="4614" max="4614" width="12.85546875" style="1" customWidth="1"/>
    <col min="4615" max="4615" width="13.140625" style="1" customWidth="1"/>
    <col min="4616" max="4616" width="61" style="1" customWidth="1"/>
    <col min="4617" max="4867" width="9.140625" style="1"/>
    <col min="4868" max="4868" width="7.140625" style="1" customWidth="1"/>
    <col min="4869" max="4869" width="10.42578125" style="1" customWidth="1"/>
    <col min="4870" max="4870" width="12.85546875" style="1" customWidth="1"/>
    <col min="4871" max="4871" width="13.140625" style="1" customWidth="1"/>
    <col min="4872" max="4872" width="61" style="1" customWidth="1"/>
    <col min="4873" max="5123" width="9.140625" style="1"/>
    <col min="5124" max="5124" width="7.140625" style="1" customWidth="1"/>
    <col min="5125" max="5125" width="10.42578125" style="1" customWidth="1"/>
    <col min="5126" max="5126" width="12.85546875" style="1" customWidth="1"/>
    <col min="5127" max="5127" width="13.140625" style="1" customWidth="1"/>
    <col min="5128" max="5128" width="61" style="1" customWidth="1"/>
    <col min="5129" max="5379" width="9.140625" style="1"/>
    <col min="5380" max="5380" width="7.140625" style="1" customWidth="1"/>
    <col min="5381" max="5381" width="10.42578125" style="1" customWidth="1"/>
    <col min="5382" max="5382" width="12.85546875" style="1" customWidth="1"/>
    <col min="5383" max="5383" width="13.140625" style="1" customWidth="1"/>
    <col min="5384" max="5384" width="61" style="1" customWidth="1"/>
    <col min="5385" max="5635" width="9.140625" style="1"/>
    <col min="5636" max="5636" width="7.140625" style="1" customWidth="1"/>
    <col min="5637" max="5637" width="10.42578125" style="1" customWidth="1"/>
    <col min="5638" max="5638" width="12.85546875" style="1" customWidth="1"/>
    <col min="5639" max="5639" width="13.140625" style="1" customWidth="1"/>
    <col min="5640" max="5640" width="61" style="1" customWidth="1"/>
    <col min="5641" max="5891" width="9.140625" style="1"/>
    <col min="5892" max="5892" width="7.140625" style="1" customWidth="1"/>
    <col min="5893" max="5893" width="10.42578125" style="1" customWidth="1"/>
    <col min="5894" max="5894" width="12.85546875" style="1" customWidth="1"/>
    <col min="5895" max="5895" width="13.140625" style="1" customWidth="1"/>
    <col min="5896" max="5896" width="61" style="1" customWidth="1"/>
    <col min="5897" max="6147" width="9.140625" style="1"/>
    <col min="6148" max="6148" width="7.140625" style="1" customWidth="1"/>
    <col min="6149" max="6149" width="10.42578125" style="1" customWidth="1"/>
    <col min="6150" max="6150" width="12.85546875" style="1" customWidth="1"/>
    <col min="6151" max="6151" width="13.140625" style="1" customWidth="1"/>
    <col min="6152" max="6152" width="61" style="1" customWidth="1"/>
    <col min="6153" max="6403" width="9.140625" style="1"/>
    <col min="6404" max="6404" width="7.140625" style="1" customWidth="1"/>
    <col min="6405" max="6405" width="10.42578125" style="1" customWidth="1"/>
    <col min="6406" max="6406" width="12.85546875" style="1" customWidth="1"/>
    <col min="6407" max="6407" width="13.140625" style="1" customWidth="1"/>
    <col min="6408" max="6408" width="61" style="1" customWidth="1"/>
    <col min="6409" max="6659" width="9.140625" style="1"/>
    <col min="6660" max="6660" width="7.140625" style="1" customWidth="1"/>
    <col min="6661" max="6661" width="10.42578125" style="1" customWidth="1"/>
    <col min="6662" max="6662" width="12.85546875" style="1" customWidth="1"/>
    <col min="6663" max="6663" width="13.140625" style="1" customWidth="1"/>
    <col min="6664" max="6664" width="61" style="1" customWidth="1"/>
    <col min="6665" max="6915" width="9.140625" style="1"/>
    <col min="6916" max="6916" width="7.140625" style="1" customWidth="1"/>
    <col min="6917" max="6917" width="10.42578125" style="1" customWidth="1"/>
    <col min="6918" max="6918" width="12.85546875" style="1" customWidth="1"/>
    <col min="6919" max="6919" width="13.140625" style="1" customWidth="1"/>
    <col min="6920" max="6920" width="61" style="1" customWidth="1"/>
    <col min="6921" max="7171" width="9.140625" style="1"/>
    <col min="7172" max="7172" width="7.140625" style="1" customWidth="1"/>
    <col min="7173" max="7173" width="10.42578125" style="1" customWidth="1"/>
    <col min="7174" max="7174" width="12.85546875" style="1" customWidth="1"/>
    <col min="7175" max="7175" width="13.140625" style="1" customWidth="1"/>
    <col min="7176" max="7176" width="61" style="1" customWidth="1"/>
    <col min="7177" max="7427" width="9.140625" style="1"/>
    <col min="7428" max="7428" width="7.140625" style="1" customWidth="1"/>
    <col min="7429" max="7429" width="10.42578125" style="1" customWidth="1"/>
    <col min="7430" max="7430" width="12.85546875" style="1" customWidth="1"/>
    <col min="7431" max="7431" width="13.140625" style="1" customWidth="1"/>
    <col min="7432" max="7432" width="61" style="1" customWidth="1"/>
    <col min="7433" max="7683" width="9.140625" style="1"/>
    <col min="7684" max="7684" width="7.140625" style="1" customWidth="1"/>
    <col min="7685" max="7685" width="10.42578125" style="1" customWidth="1"/>
    <col min="7686" max="7686" width="12.85546875" style="1" customWidth="1"/>
    <col min="7687" max="7687" width="13.140625" style="1" customWidth="1"/>
    <col min="7688" max="7688" width="61" style="1" customWidth="1"/>
    <col min="7689" max="7939" width="9.140625" style="1"/>
    <col min="7940" max="7940" width="7.140625" style="1" customWidth="1"/>
    <col min="7941" max="7941" width="10.42578125" style="1" customWidth="1"/>
    <col min="7942" max="7942" width="12.85546875" style="1" customWidth="1"/>
    <col min="7943" max="7943" width="13.140625" style="1" customWidth="1"/>
    <col min="7944" max="7944" width="61" style="1" customWidth="1"/>
    <col min="7945" max="8195" width="9.140625" style="1"/>
    <col min="8196" max="8196" width="7.140625" style="1" customWidth="1"/>
    <col min="8197" max="8197" width="10.42578125" style="1" customWidth="1"/>
    <col min="8198" max="8198" width="12.85546875" style="1" customWidth="1"/>
    <col min="8199" max="8199" width="13.140625" style="1" customWidth="1"/>
    <col min="8200" max="8200" width="61" style="1" customWidth="1"/>
    <col min="8201" max="8451" width="9.140625" style="1"/>
    <col min="8452" max="8452" width="7.140625" style="1" customWidth="1"/>
    <col min="8453" max="8453" width="10.42578125" style="1" customWidth="1"/>
    <col min="8454" max="8454" width="12.85546875" style="1" customWidth="1"/>
    <col min="8455" max="8455" width="13.140625" style="1" customWidth="1"/>
    <col min="8456" max="8456" width="61" style="1" customWidth="1"/>
    <col min="8457" max="8707" width="9.140625" style="1"/>
    <col min="8708" max="8708" width="7.140625" style="1" customWidth="1"/>
    <col min="8709" max="8709" width="10.42578125" style="1" customWidth="1"/>
    <col min="8710" max="8710" width="12.85546875" style="1" customWidth="1"/>
    <col min="8711" max="8711" width="13.140625" style="1" customWidth="1"/>
    <col min="8712" max="8712" width="61" style="1" customWidth="1"/>
    <col min="8713" max="8963" width="9.140625" style="1"/>
    <col min="8964" max="8964" width="7.140625" style="1" customWidth="1"/>
    <col min="8965" max="8965" width="10.42578125" style="1" customWidth="1"/>
    <col min="8966" max="8966" width="12.85546875" style="1" customWidth="1"/>
    <col min="8967" max="8967" width="13.140625" style="1" customWidth="1"/>
    <col min="8968" max="8968" width="61" style="1" customWidth="1"/>
    <col min="8969" max="9219" width="9.140625" style="1"/>
    <col min="9220" max="9220" width="7.140625" style="1" customWidth="1"/>
    <col min="9221" max="9221" width="10.42578125" style="1" customWidth="1"/>
    <col min="9222" max="9222" width="12.85546875" style="1" customWidth="1"/>
    <col min="9223" max="9223" width="13.140625" style="1" customWidth="1"/>
    <col min="9224" max="9224" width="61" style="1" customWidth="1"/>
    <col min="9225" max="9475" width="9.140625" style="1"/>
    <col min="9476" max="9476" width="7.140625" style="1" customWidth="1"/>
    <col min="9477" max="9477" width="10.42578125" style="1" customWidth="1"/>
    <col min="9478" max="9478" width="12.85546875" style="1" customWidth="1"/>
    <col min="9479" max="9479" width="13.140625" style="1" customWidth="1"/>
    <col min="9480" max="9480" width="61" style="1" customWidth="1"/>
    <col min="9481" max="9731" width="9.140625" style="1"/>
    <col min="9732" max="9732" width="7.140625" style="1" customWidth="1"/>
    <col min="9733" max="9733" width="10.42578125" style="1" customWidth="1"/>
    <col min="9734" max="9734" width="12.85546875" style="1" customWidth="1"/>
    <col min="9735" max="9735" width="13.140625" style="1" customWidth="1"/>
    <col min="9736" max="9736" width="61" style="1" customWidth="1"/>
    <col min="9737" max="9987" width="9.140625" style="1"/>
    <col min="9988" max="9988" width="7.140625" style="1" customWidth="1"/>
    <col min="9989" max="9989" width="10.42578125" style="1" customWidth="1"/>
    <col min="9990" max="9990" width="12.85546875" style="1" customWidth="1"/>
    <col min="9991" max="9991" width="13.140625" style="1" customWidth="1"/>
    <col min="9992" max="9992" width="61" style="1" customWidth="1"/>
    <col min="9993" max="10243" width="9.140625" style="1"/>
    <col min="10244" max="10244" width="7.140625" style="1" customWidth="1"/>
    <col min="10245" max="10245" width="10.42578125" style="1" customWidth="1"/>
    <col min="10246" max="10246" width="12.85546875" style="1" customWidth="1"/>
    <col min="10247" max="10247" width="13.140625" style="1" customWidth="1"/>
    <col min="10248" max="10248" width="61" style="1" customWidth="1"/>
    <col min="10249" max="10499" width="9.140625" style="1"/>
    <col min="10500" max="10500" width="7.140625" style="1" customWidth="1"/>
    <col min="10501" max="10501" width="10.42578125" style="1" customWidth="1"/>
    <col min="10502" max="10502" width="12.85546875" style="1" customWidth="1"/>
    <col min="10503" max="10503" width="13.140625" style="1" customWidth="1"/>
    <col min="10504" max="10504" width="61" style="1" customWidth="1"/>
    <col min="10505" max="10755" width="9.140625" style="1"/>
    <col min="10756" max="10756" width="7.140625" style="1" customWidth="1"/>
    <col min="10757" max="10757" width="10.42578125" style="1" customWidth="1"/>
    <col min="10758" max="10758" width="12.85546875" style="1" customWidth="1"/>
    <col min="10759" max="10759" width="13.140625" style="1" customWidth="1"/>
    <col min="10760" max="10760" width="61" style="1" customWidth="1"/>
    <col min="10761" max="11011" width="9.140625" style="1"/>
    <col min="11012" max="11012" width="7.140625" style="1" customWidth="1"/>
    <col min="11013" max="11013" width="10.42578125" style="1" customWidth="1"/>
    <col min="11014" max="11014" width="12.85546875" style="1" customWidth="1"/>
    <col min="11015" max="11015" width="13.140625" style="1" customWidth="1"/>
    <col min="11016" max="11016" width="61" style="1" customWidth="1"/>
    <col min="11017" max="11267" width="9.140625" style="1"/>
    <col min="11268" max="11268" width="7.140625" style="1" customWidth="1"/>
    <col min="11269" max="11269" width="10.42578125" style="1" customWidth="1"/>
    <col min="11270" max="11270" width="12.85546875" style="1" customWidth="1"/>
    <col min="11271" max="11271" width="13.140625" style="1" customWidth="1"/>
    <col min="11272" max="11272" width="61" style="1" customWidth="1"/>
    <col min="11273" max="11523" width="9.140625" style="1"/>
    <col min="11524" max="11524" width="7.140625" style="1" customWidth="1"/>
    <col min="11525" max="11525" width="10.42578125" style="1" customWidth="1"/>
    <col min="11526" max="11526" width="12.85546875" style="1" customWidth="1"/>
    <col min="11527" max="11527" width="13.140625" style="1" customWidth="1"/>
    <col min="11528" max="11528" width="61" style="1" customWidth="1"/>
    <col min="11529" max="11779" width="9.140625" style="1"/>
    <col min="11780" max="11780" width="7.140625" style="1" customWidth="1"/>
    <col min="11781" max="11781" width="10.42578125" style="1" customWidth="1"/>
    <col min="11782" max="11782" width="12.85546875" style="1" customWidth="1"/>
    <col min="11783" max="11783" width="13.140625" style="1" customWidth="1"/>
    <col min="11784" max="11784" width="61" style="1" customWidth="1"/>
    <col min="11785" max="12035" width="9.140625" style="1"/>
    <col min="12036" max="12036" width="7.140625" style="1" customWidth="1"/>
    <col min="12037" max="12037" width="10.42578125" style="1" customWidth="1"/>
    <col min="12038" max="12038" width="12.85546875" style="1" customWidth="1"/>
    <col min="12039" max="12039" width="13.140625" style="1" customWidth="1"/>
    <col min="12040" max="12040" width="61" style="1" customWidth="1"/>
    <col min="12041" max="12291" width="9.140625" style="1"/>
    <col min="12292" max="12292" width="7.140625" style="1" customWidth="1"/>
    <col min="12293" max="12293" width="10.42578125" style="1" customWidth="1"/>
    <col min="12294" max="12294" width="12.85546875" style="1" customWidth="1"/>
    <col min="12295" max="12295" width="13.140625" style="1" customWidth="1"/>
    <col min="12296" max="12296" width="61" style="1" customWidth="1"/>
    <col min="12297" max="12547" width="9.140625" style="1"/>
    <col min="12548" max="12548" width="7.140625" style="1" customWidth="1"/>
    <col min="12549" max="12549" width="10.42578125" style="1" customWidth="1"/>
    <col min="12550" max="12550" width="12.85546875" style="1" customWidth="1"/>
    <col min="12551" max="12551" width="13.140625" style="1" customWidth="1"/>
    <col min="12552" max="12552" width="61" style="1" customWidth="1"/>
    <col min="12553" max="12803" width="9.140625" style="1"/>
    <col min="12804" max="12804" width="7.140625" style="1" customWidth="1"/>
    <col min="12805" max="12805" width="10.42578125" style="1" customWidth="1"/>
    <col min="12806" max="12806" width="12.85546875" style="1" customWidth="1"/>
    <col min="12807" max="12807" width="13.140625" style="1" customWidth="1"/>
    <col min="12808" max="12808" width="61" style="1" customWidth="1"/>
    <col min="12809" max="13059" width="9.140625" style="1"/>
    <col min="13060" max="13060" width="7.140625" style="1" customWidth="1"/>
    <col min="13061" max="13061" width="10.42578125" style="1" customWidth="1"/>
    <col min="13062" max="13062" width="12.85546875" style="1" customWidth="1"/>
    <col min="13063" max="13063" width="13.140625" style="1" customWidth="1"/>
    <col min="13064" max="13064" width="61" style="1" customWidth="1"/>
    <col min="13065" max="13315" width="9.140625" style="1"/>
    <col min="13316" max="13316" width="7.140625" style="1" customWidth="1"/>
    <col min="13317" max="13317" width="10.42578125" style="1" customWidth="1"/>
    <col min="13318" max="13318" width="12.85546875" style="1" customWidth="1"/>
    <col min="13319" max="13319" width="13.140625" style="1" customWidth="1"/>
    <col min="13320" max="13320" width="61" style="1" customWidth="1"/>
    <col min="13321" max="13571" width="9.140625" style="1"/>
    <col min="13572" max="13572" width="7.140625" style="1" customWidth="1"/>
    <col min="13573" max="13573" width="10.42578125" style="1" customWidth="1"/>
    <col min="13574" max="13574" width="12.85546875" style="1" customWidth="1"/>
    <col min="13575" max="13575" width="13.140625" style="1" customWidth="1"/>
    <col min="13576" max="13576" width="61" style="1" customWidth="1"/>
    <col min="13577" max="13827" width="9.140625" style="1"/>
    <col min="13828" max="13828" width="7.140625" style="1" customWidth="1"/>
    <col min="13829" max="13829" width="10.42578125" style="1" customWidth="1"/>
    <col min="13830" max="13830" width="12.85546875" style="1" customWidth="1"/>
    <col min="13831" max="13831" width="13.140625" style="1" customWidth="1"/>
    <col min="13832" max="13832" width="61" style="1" customWidth="1"/>
    <col min="13833" max="14083" width="9.140625" style="1"/>
    <col min="14084" max="14084" width="7.140625" style="1" customWidth="1"/>
    <col min="14085" max="14085" width="10.42578125" style="1" customWidth="1"/>
    <col min="14086" max="14086" width="12.85546875" style="1" customWidth="1"/>
    <col min="14087" max="14087" width="13.140625" style="1" customWidth="1"/>
    <col min="14088" max="14088" width="61" style="1" customWidth="1"/>
    <col min="14089" max="14339" width="9.140625" style="1"/>
    <col min="14340" max="14340" width="7.140625" style="1" customWidth="1"/>
    <col min="14341" max="14341" width="10.42578125" style="1" customWidth="1"/>
    <col min="14342" max="14342" width="12.85546875" style="1" customWidth="1"/>
    <col min="14343" max="14343" width="13.140625" style="1" customWidth="1"/>
    <col min="14344" max="14344" width="61" style="1" customWidth="1"/>
    <col min="14345" max="14595" width="9.140625" style="1"/>
    <col min="14596" max="14596" width="7.140625" style="1" customWidth="1"/>
    <col min="14597" max="14597" width="10.42578125" style="1" customWidth="1"/>
    <col min="14598" max="14598" width="12.85546875" style="1" customWidth="1"/>
    <col min="14599" max="14599" width="13.140625" style="1" customWidth="1"/>
    <col min="14600" max="14600" width="61" style="1" customWidth="1"/>
    <col min="14601" max="14851" width="9.140625" style="1"/>
    <col min="14852" max="14852" width="7.140625" style="1" customWidth="1"/>
    <col min="14853" max="14853" width="10.42578125" style="1" customWidth="1"/>
    <col min="14854" max="14854" width="12.85546875" style="1" customWidth="1"/>
    <col min="14855" max="14855" width="13.140625" style="1" customWidth="1"/>
    <col min="14856" max="14856" width="61" style="1" customWidth="1"/>
    <col min="14857" max="15107" width="9.140625" style="1"/>
    <col min="15108" max="15108" width="7.140625" style="1" customWidth="1"/>
    <col min="15109" max="15109" width="10.42578125" style="1" customWidth="1"/>
    <col min="15110" max="15110" width="12.85546875" style="1" customWidth="1"/>
    <col min="15111" max="15111" width="13.140625" style="1" customWidth="1"/>
    <col min="15112" max="15112" width="61" style="1" customWidth="1"/>
    <col min="15113" max="15363" width="9.140625" style="1"/>
    <col min="15364" max="15364" width="7.140625" style="1" customWidth="1"/>
    <col min="15365" max="15365" width="10.42578125" style="1" customWidth="1"/>
    <col min="15366" max="15366" width="12.85546875" style="1" customWidth="1"/>
    <col min="15367" max="15367" width="13.140625" style="1" customWidth="1"/>
    <col min="15368" max="15368" width="61" style="1" customWidth="1"/>
    <col min="15369" max="15619" width="9.140625" style="1"/>
    <col min="15620" max="15620" width="7.140625" style="1" customWidth="1"/>
    <col min="15621" max="15621" width="10.42578125" style="1" customWidth="1"/>
    <col min="15622" max="15622" width="12.85546875" style="1" customWidth="1"/>
    <col min="15623" max="15623" width="13.140625" style="1" customWidth="1"/>
    <col min="15624" max="15624" width="61" style="1" customWidth="1"/>
    <col min="15625" max="15875" width="9.140625" style="1"/>
    <col min="15876" max="15876" width="7.140625" style="1" customWidth="1"/>
    <col min="15877" max="15877" width="10.42578125" style="1" customWidth="1"/>
    <col min="15878" max="15878" width="12.85546875" style="1" customWidth="1"/>
    <col min="15879" max="15879" width="13.140625" style="1" customWidth="1"/>
    <col min="15880" max="15880" width="61" style="1" customWidth="1"/>
    <col min="15881" max="16131" width="9.140625" style="1"/>
    <col min="16132" max="16132" width="7.140625" style="1" customWidth="1"/>
    <col min="16133" max="16133" width="10.42578125" style="1" customWidth="1"/>
    <col min="16134" max="16134" width="12.85546875" style="1" customWidth="1"/>
    <col min="16135" max="16135" width="13.140625" style="1" customWidth="1"/>
    <col min="16136" max="16136" width="61" style="1" customWidth="1"/>
    <col min="16137" max="16384" width="9.140625" style="1"/>
  </cols>
  <sheetData>
    <row r="1" spans="1:8" ht="60" customHeight="1">
      <c r="B1" s="3273"/>
      <c r="C1" s="3273"/>
      <c r="D1" s="3273"/>
      <c r="E1" s="3273"/>
      <c r="F1" s="3274"/>
      <c r="G1" s="178"/>
      <c r="H1" s="111" t="s">
        <v>1279</v>
      </c>
    </row>
    <row r="2" spans="1:8" ht="51.75" customHeight="1" thickBot="1">
      <c r="A2" s="3250" t="s">
        <v>145</v>
      </c>
      <c r="B2" s="3250"/>
      <c r="C2" s="3250"/>
      <c r="D2" s="3250"/>
      <c r="E2" s="3250"/>
      <c r="F2" s="3250"/>
      <c r="G2" s="3250"/>
      <c r="H2" s="3250"/>
    </row>
    <row r="3" spans="1:8" ht="36" customHeight="1" thickBot="1">
      <c r="A3" s="3183" t="s">
        <v>15</v>
      </c>
      <c r="B3" s="3251" t="s">
        <v>0</v>
      </c>
      <c r="C3" s="3251" t="s">
        <v>1</v>
      </c>
      <c r="D3" s="3253" t="s">
        <v>5</v>
      </c>
      <c r="E3" s="3279" t="s">
        <v>171</v>
      </c>
      <c r="F3" s="3275" t="s">
        <v>2</v>
      </c>
      <c r="G3" s="3276"/>
      <c r="H3" s="3277" t="s">
        <v>137</v>
      </c>
    </row>
    <row r="4" spans="1:8" ht="24" customHeight="1" thickBot="1">
      <c r="A4" s="3183"/>
      <c r="B4" s="3251"/>
      <c r="C4" s="3251"/>
      <c r="D4" s="3253"/>
      <c r="E4" s="3280"/>
      <c r="F4" s="177" t="s">
        <v>170</v>
      </c>
      <c r="G4" s="176" t="s">
        <v>19</v>
      </c>
      <c r="H4" s="3278"/>
    </row>
    <row r="5" spans="1:8" ht="62.25" customHeight="1" thickBot="1">
      <c r="A5" s="216">
        <v>1</v>
      </c>
      <c r="B5" s="191" t="s">
        <v>109</v>
      </c>
      <c r="C5" s="191" t="s">
        <v>111</v>
      </c>
      <c r="D5" s="188">
        <v>2360</v>
      </c>
      <c r="E5" s="185">
        <f>SUM(F5:G5)</f>
        <v>3314085</v>
      </c>
      <c r="F5" s="186">
        <v>3314085</v>
      </c>
      <c r="G5" s="187">
        <v>0</v>
      </c>
      <c r="H5" s="195" t="s">
        <v>1076</v>
      </c>
    </row>
    <row r="6" spans="1:8" ht="16.5" customHeight="1" thickBot="1">
      <c r="A6" s="193">
        <v>2</v>
      </c>
      <c r="B6" s="38" t="s">
        <v>7</v>
      </c>
      <c r="C6" s="38" t="s">
        <v>112</v>
      </c>
      <c r="D6" s="189">
        <v>2830</v>
      </c>
      <c r="E6" s="185">
        <f>SUM(F6:G6)</f>
        <v>78916290</v>
      </c>
      <c r="F6" s="186">
        <v>78916290</v>
      </c>
      <c r="G6" s="184">
        <v>0</v>
      </c>
      <c r="H6" s="35" t="s">
        <v>146</v>
      </c>
    </row>
    <row r="7" spans="1:8" ht="18.75" customHeight="1" thickBot="1">
      <c r="A7" s="193">
        <v>3</v>
      </c>
      <c r="B7" s="38" t="s">
        <v>114</v>
      </c>
      <c r="C7" s="38" t="s">
        <v>115</v>
      </c>
      <c r="D7" s="189">
        <v>2360</v>
      </c>
      <c r="E7" s="185">
        <f t="shared" ref="E7:E23" si="0">SUM(F7:G7)</f>
        <v>250000</v>
      </c>
      <c r="F7" s="186">
        <v>250000</v>
      </c>
      <c r="G7" s="184">
        <v>0</v>
      </c>
      <c r="H7" s="35" t="s">
        <v>147</v>
      </c>
    </row>
    <row r="8" spans="1:8" ht="18.75" customHeight="1" thickBot="1">
      <c r="A8" s="193">
        <v>4</v>
      </c>
      <c r="B8" s="38" t="s">
        <v>192</v>
      </c>
      <c r="C8" s="38" t="s">
        <v>672</v>
      </c>
      <c r="D8" s="189">
        <v>2360</v>
      </c>
      <c r="E8" s="185">
        <f t="shared" si="0"/>
        <v>50000</v>
      </c>
      <c r="F8" s="322">
        <v>50000</v>
      </c>
      <c r="G8" s="184"/>
      <c r="H8" s="35" t="s">
        <v>194</v>
      </c>
    </row>
    <row r="9" spans="1:8" ht="21" customHeight="1">
      <c r="A9" s="3281">
        <v>5</v>
      </c>
      <c r="B9" s="3281">
        <v>754</v>
      </c>
      <c r="C9" s="3281">
        <v>75415</v>
      </c>
      <c r="D9" s="2493">
        <v>2360</v>
      </c>
      <c r="E9" s="241">
        <f t="shared" si="0"/>
        <v>360000</v>
      </c>
      <c r="F9" s="2494">
        <v>360000</v>
      </c>
      <c r="G9" s="2495">
        <v>0</v>
      </c>
      <c r="H9" s="327" t="s">
        <v>148</v>
      </c>
    </row>
    <row r="10" spans="1:8" ht="21" customHeight="1" thickBot="1">
      <c r="A10" s="3282"/>
      <c r="B10" s="3282"/>
      <c r="C10" s="3282"/>
      <c r="D10" s="2496">
        <v>6190</v>
      </c>
      <c r="E10" s="187">
        <f t="shared" si="0"/>
        <v>60000</v>
      </c>
      <c r="F10" s="2497">
        <v>0</v>
      </c>
      <c r="G10" s="2498">
        <v>60000</v>
      </c>
      <c r="H10" s="211" t="s">
        <v>1269</v>
      </c>
    </row>
    <row r="11" spans="1:8" ht="32.25" customHeight="1">
      <c r="A11" s="3281">
        <v>6</v>
      </c>
      <c r="B11" s="3271" t="s">
        <v>120</v>
      </c>
      <c r="C11" s="315" t="s">
        <v>121</v>
      </c>
      <c r="D11" s="206">
        <v>2360</v>
      </c>
      <c r="E11" s="241">
        <f t="shared" si="0"/>
        <v>150000</v>
      </c>
      <c r="F11" s="202">
        <v>150000</v>
      </c>
      <c r="G11" s="207">
        <v>0</v>
      </c>
      <c r="H11" s="765" t="s">
        <v>175</v>
      </c>
    </row>
    <row r="12" spans="1:8" ht="56.25" customHeight="1" thickBot="1">
      <c r="A12" s="3282"/>
      <c r="B12" s="3272"/>
      <c r="C12" s="316" t="s">
        <v>122</v>
      </c>
      <c r="D12" s="209">
        <v>2360</v>
      </c>
      <c r="E12" s="187">
        <f t="shared" si="0"/>
        <v>490339</v>
      </c>
      <c r="F12" s="204">
        <v>490339</v>
      </c>
      <c r="G12" s="210">
        <v>0</v>
      </c>
      <c r="H12" s="211" t="s">
        <v>176</v>
      </c>
    </row>
    <row r="13" spans="1:8" ht="34.5" customHeight="1">
      <c r="A13" s="3281">
        <v>7</v>
      </c>
      <c r="B13" s="3271" t="s">
        <v>123</v>
      </c>
      <c r="C13" s="205" t="s">
        <v>124</v>
      </c>
      <c r="D13" s="206">
        <v>2360</v>
      </c>
      <c r="E13" s="241">
        <f t="shared" si="0"/>
        <v>200000</v>
      </c>
      <c r="F13" s="202">
        <v>200000</v>
      </c>
      <c r="G13" s="207">
        <v>0</v>
      </c>
      <c r="H13" s="212" t="s">
        <v>177</v>
      </c>
    </row>
    <row r="14" spans="1:8" ht="41.25" customHeight="1" thickBot="1">
      <c r="A14" s="3282"/>
      <c r="B14" s="3272"/>
      <c r="C14" s="208" t="s">
        <v>125</v>
      </c>
      <c r="D14" s="209">
        <v>2360</v>
      </c>
      <c r="E14" s="187">
        <f t="shared" si="0"/>
        <v>680000</v>
      </c>
      <c r="F14" s="204">
        <v>680000</v>
      </c>
      <c r="G14" s="210">
        <v>0</v>
      </c>
      <c r="H14" s="211" t="s">
        <v>178</v>
      </c>
    </row>
    <row r="15" spans="1:8" ht="63" customHeight="1" thickBot="1">
      <c r="A15" s="193">
        <v>8</v>
      </c>
      <c r="B15" s="192" t="s">
        <v>126</v>
      </c>
      <c r="C15" s="192" t="s">
        <v>127</v>
      </c>
      <c r="D15" s="190">
        <v>2360</v>
      </c>
      <c r="E15" s="184">
        <f t="shared" si="0"/>
        <v>1127991</v>
      </c>
      <c r="F15" s="194">
        <v>1127991</v>
      </c>
      <c r="G15" s="36">
        <v>0</v>
      </c>
      <c r="H15" s="196" t="s">
        <v>179</v>
      </c>
    </row>
    <row r="16" spans="1:8" ht="46.5" customHeight="1" thickBot="1">
      <c r="A16" s="3265">
        <v>9</v>
      </c>
      <c r="B16" s="3267" t="s">
        <v>158</v>
      </c>
      <c r="C16" s="192" t="s">
        <v>159</v>
      </c>
      <c r="D16" s="190">
        <v>2360</v>
      </c>
      <c r="E16" s="185">
        <f t="shared" si="0"/>
        <v>90000</v>
      </c>
      <c r="F16" s="194">
        <v>90000</v>
      </c>
      <c r="G16" s="36">
        <v>0</v>
      </c>
      <c r="H16" s="196" t="s">
        <v>180</v>
      </c>
    </row>
    <row r="17" spans="1:8" ht="32.25" customHeight="1" thickBot="1">
      <c r="A17" s="3266"/>
      <c r="B17" s="3268"/>
      <c r="C17" s="192" t="s">
        <v>160</v>
      </c>
      <c r="D17" s="190">
        <v>2360</v>
      </c>
      <c r="E17" s="185">
        <f t="shared" si="0"/>
        <v>3113046</v>
      </c>
      <c r="F17" s="194">
        <v>3113046</v>
      </c>
      <c r="G17" s="36">
        <v>0</v>
      </c>
      <c r="H17" s="196" t="s">
        <v>165</v>
      </c>
    </row>
    <row r="18" spans="1:8" ht="39.75" customHeight="1" thickBot="1">
      <c r="A18" s="213">
        <v>10</v>
      </c>
      <c r="B18" s="243" t="s">
        <v>128</v>
      </c>
      <c r="C18" s="192" t="s">
        <v>129</v>
      </c>
      <c r="D18" s="190">
        <v>2360</v>
      </c>
      <c r="E18" s="185">
        <f t="shared" si="0"/>
        <v>5000</v>
      </c>
      <c r="F18" s="194">
        <v>5000</v>
      </c>
      <c r="G18" s="36">
        <v>0</v>
      </c>
      <c r="H18" s="196" t="s">
        <v>172</v>
      </c>
    </row>
    <row r="19" spans="1:8" ht="23.25" customHeight="1" thickBot="1">
      <c r="A19" s="3265">
        <v>11</v>
      </c>
      <c r="B19" s="3267" t="s">
        <v>10</v>
      </c>
      <c r="C19" s="192" t="s">
        <v>130</v>
      </c>
      <c r="D19" s="190">
        <v>2360</v>
      </c>
      <c r="E19" s="185">
        <f t="shared" si="0"/>
        <v>500000</v>
      </c>
      <c r="F19" s="194">
        <v>500000</v>
      </c>
      <c r="G19" s="36">
        <v>0</v>
      </c>
      <c r="H19" s="196" t="s">
        <v>149</v>
      </c>
    </row>
    <row r="20" spans="1:8" ht="51.75" customHeight="1" thickBot="1">
      <c r="A20" s="3266"/>
      <c r="B20" s="3268"/>
      <c r="C20" s="192" t="s">
        <v>131</v>
      </c>
      <c r="D20" s="190">
        <v>2720</v>
      </c>
      <c r="E20" s="185">
        <f t="shared" si="0"/>
        <v>4000000</v>
      </c>
      <c r="F20" s="194">
        <v>4000000</v>
      </c>
      <c r="G20" s="36">
        <v>0</v>
      </c>
      <c r="H20" s="196" t="s">
        <v>150</v>
      </c>
    </row>
    <row r="21" spans="1:8" ht="62.25" customHeight="1" thickBot="1">
      <c r="A21" s="213">
        <v>12</v>
      </c>
      <c r="B21" s="318" t="s">
        <v>201</v>
      </c>
      <c r="C21" s="317" t="s">
        <v>202</v>
      </c>
      <c r="D21" s="324">
        <v>2360</v>
      </c>
      <c r="E21" s="241">
        <f t="shared" ref="E21" si="1">SUM(F21:G21)</f>
        <v>5000</v>
      </c>
      <c r="F21" s="325">
        <v>5000</v>
      </c>
      <c r="G21" s="326">
        <v>0</v>
      </c>
      <c r="H21" s="327" t="s">
        <v>203</v>
      </c>
    </row>
    <row r="22" spans="1:8" ht="26.25" customHeight="1">
      <c r="A22" s="3269">
        <v>13</v>
      </c>
      <c r="B22" s="3271" t="s">
        <v>132</v>
      </c>
      <c r="C22" s="3271" t="s">
        <v>133</v>
      </c>
      <c r="D22" s="200">
        <v>2360</v>
      </c>
      <c r="E22" s="241">
        <f t="shared" si="0"/>
        <v>180000</v>
      </c>
      <c r="F22" s="202">
        <v>180000</v>
      </c>
      <c r="G22" s="201">
        <v>0</v>
      </c>
      <c r="H22" s="3283" t="s">
        <v>151</v>
      </c>
    </row>
    <row r="23" spans="1:8" ht="23.25" customHeight="1" thickBot="1">
      <c r="A23" s="3270"/>
      <c r="B23" s="3272"/>
      <c r="C23" s="3272"/>
      <c r="D23" s="250">
        <v>2820</v>
      </c>
      <c r="E23" s="187">
        <f t="shared" si="0"/>
        <v>2324371</v>
      </c>
      <c r="F23" s="251">
        <v>2324371</v>
      </c>
      <c r="G23" s="203">
        <v>0</v>
      </c>
      <c r="H23" s="3284"/>
    </row>
    <row r="24" spans="1:8" ht="35.25" customHeight="1" thickBot="1">
      <c r="A24" s="3180" t="s">
        <v>22</v>
      </c>
      <c r="B24" s="3181"/>
      <c r="C24" s="3181"/>
      <c r="D24" s="3182"/>
      <c r="E24" s="214">
        <f>SUM(F24:G24)</f>
        <v>95816122</v>
      </c>
      <c r="F24" s="182">
        <f>SUM(F5:F23)</f>
        <v>95756122</v>
      </c>
      <c r="G24" s="183">
        <f>SUM(G5:G23)</f>
        <v>60000</v>
      </c>
      <c r="H24" s="215"/>
    </row>
    <row r="25" spans="1:8">
      <c r="B25" s="109"/>
      <c r="C25" s="109"/>
      <c r="D25" s="109"/>
      <c r="E25" s="109"/>
      <c r="F25" s="110"/>
      <c r="G25" s="110"/>
      <c r="H25" s="116"/>
    </row>
    <row r="26" spans="1:8">
      <c r="B26" s="109"/>
      <c r="C26" s="109"/>
      <c r="D26" s="109"/>
      <c r="E26" s="181"/>
      <c r="F26" s="110"/>
      <c r="G26" s="110"/>
      <c r="H26" s="116"/>
    </row>
    <row r="27" spans="1:8">
      <c r="B27" s="109"/>
      <c r="C27" s="109"/>
      <c r="D27" s="109"/>
      <c r="E27" s="109"/>
      <c r="F27" s="110"/>
      <c r="G27" s="110"/>
      <c r="H27" s="116"/>
    </row>
    <row r="28" spans="1:8">
      <c r="B28" s="109"/>
      <c r="C28" s="109"/>
      <c r="D28" s="109"/>
      <c r="E28" s="109"/>
      <c r="F28" s="110"/>
      <c r="G28" s="110"/>
      <c r="H28" s="116"/>
    </row>
    <row r="29" spans="1:8">
      <c r="B29" s="109"/>
      <c r="C29" s="109"/>
      <c r="D29" s="109"/>
      <c r="E29" s="109"/>
      <c r="F29" s="110"/>
      <c r="G29" s="110"/>
      <c r="H29" s="116"/>
    </row>
    <row r="30" spans="1:8">
      <c r="B30" s="109"/>
      <c r="C30" s="109"/>
      <c r="D30" s="109"/>
      <c r="E30" s="109"/>
      <c r="F30" s="110"/>
      <c r="G30" s="110"/>
      <c r="H30" s="116"/>
    </row>
    <row r="31" spans="1:8">
      <c r="B31" s="109"/>
      <c r="C31" s="109"/>
      <c r="D31" s="109"/>
      <c r="E31" s="109"/>
      <c r="F31" s="110"/>
      <c r="G31" s="110"/>
      <c r="H31" s="116"/>
    </row>
    <row r="32" spans="1:8">
      <c r="B32" s="109"/>
      <c r="C32" s="109"/>
      <c r="D32" s="109"/>
      <c r="E32" s="109"/>
      <c r="F32" s="110"/>
      <c r="G32" s="110"/>
      <c r="H32" s="116"/>
    </row>
    <row r="33" spans="2:8">
      <c r="B33" s="109"/>
      <c r="C33" s="109"/>
      <c r="D33" s="109"/>
      <c r="E33" s="109"/>
      <c r="F33" s="110"/>
      <c r="G33" s="110"/>
      <c r="H33" s="116"/>
    </row>
    <row r="34" spans="2:8">
      <c r="B34" s="109"/>
      <c r="C34" s="109"/>
      <c r="D34" s="109"/>
      <c r="E34" s="109"/>
      <c r="F34" s="110"/>
      <c r="G34" s="110"/>
      <c r="H34" s="116"/>
    </row>
    <row r="35" spans="2:8">
      <c r="B35" s="109"/>
      <c r="C35" s="109"/>
      <c r="D35" s="109"/>
      <c r="E35" s="109"/>
      <c r="F35" s="110"/>
      <c r="G35" s="110"/>
      <c r="H35" s="116"/>
    </row>
    <row r="36" spans="2:8">
      <c r="B36" s="109"/>
      <c r="C36" s="109"/>
      <c r="D36" s="109"/>
      <c r="E36" s="109"/>
      <c r="F36" s="110"/>
      <c r="G36" s="110"/>
      <c r="H36" s="116"/>
    </row>
    <row r="37" spans="2:8">
      <c r="B37" s="109"/>
      <c r="C37" s="109"/>
      <c r="D37" s="109"/>
      <c r="E37" s="109"/>
      <c r="F37" s="110"/>
      <c r="G37" s="110"/>
      <c r="H37" s="116"/>
    </row>
    <row r="38" spans="2:8">
      <c r="B38" s="109"/>
      <c r="C38" s="109"/>
      <c r="D38" s="109"/>
      <c r="E38" s="109"/>
      <c r="F38" s="110"/>
      <c r="G38" s="110"/>
      <c r="H38" s="116"/>
    </row>
    <row r="39" spans="2:8">
      <c r="B39" s="109"/>
      <c r="C39" s="117"/>
      <c r="D39" s="117"/>
      <c r="E39" s="117"/>
      <c r="F39" s="118"/>
      <c r="G39" s="118"/>
    </row>
    <row r="40" spans="2:8">
      <c r="B40" s="109"/>
      <c r="C40" s="117"/>
      <c r="D40" s="117"/>
      <c r="E40" s="117"/>
      <c r="F40" s="118"/>
      <c r="G40" s="118"/>
    </row>
    <row r="41" spans="2:8">
      <c r="B41" s="109"/>
      <c r="C41" s="117"/>
      <c r="D41" s="117"/>
      <c r="E41" s="117"/>
      <c r="F41" s="118"/>
      <c r="G41" s="118"/>
    </row>
    <row r="42" spans="2:8">
      <c r="B42" s="109"/>
      <c r="C42" s="117"/>
      <c r="D42" s="117"/>
      <c r="E42" s="117"/>
      <c r="F42" s="118"/>
      <c r="G42" s="118"/>
    </row>
    <row r="43" spans="2:8">
      <c r="B43" s="109"/>
      <c r="C43" s="117"/>
      <c r="D43" s="117"/>
      <c r="E43" s="117"/>
      <c r="F43" s="118"/>
      <c r="G43" s="118"/>
    </row>
    <row r="44" spans="2:8">
      <c r="B44" s="109"/>
      <c r="C44" s="117"/>
      <c r="D44" s="117"/>
      <c r="E44" s="117"/>
      <c r="F44" s="118"/>
      <c r="G44" s="118"/>
    </row>
    <row r="45" spans="2:8">
      <c r="B45" s="109"/>
      <c r="C45" s="117"/>
      <c r="D45" s="117"/>
      <c r="E45" s="117"/>
      <c r="F45" s="118"/>
      <c r="G45" s="118"/>
    </row>
    <row r="46" spans="2:8">
      <c r="B46" s="109"/>
      <c r="C46" s="117"/>
      <c r="D46" s="117"/>
      <c r="E46" s="117"/>
      <c r="F46" s="118"/>
      <c r="G46" s="118"/>
    </row>
    <row r="47" spans="2:8">
      <c r="B47" s="109"/>
      <c r="C47" s="117"/>
      <c r="D47" s="117"/>
      <c r="E47" s="117"/>
      <c r="F47" s="118"/>
      <c r="G47" s="118"/>
    </row>
    <row r="48" spans="2:8">
      <c r="B48" s="109"/>
      <c r="C48" s="117"/>
      <c r="D48" s="117"/>
      <c r="E48" s="117"/>
      <c r="F48" s="118"/>
      <c r="G48" s="118"/>
    </row>
    <row r="49" spans="2:7">
      <c r="B49" s="109"/>
      <c r="C49" s="117"/>
      <c r="D49" s="117"/>
      <c r="E49" s="117"/>
      <c r="F49" s="118"/>
      <c r="G49" s="118"/>
    </row>
    <row r="50" spans="2:7">
      <c r="B50" s="109"/>
      <c r="C50" s="117"/>
      <c r="D50" s="117"/>
      <c r="E50" s="117"/>
      <c r="F50" s="118"/>
      <c r="G50" s="118"/>
    </row>
    <row r="51" spans="2:7">
      <c r="B51" s="109"/>
      <c r="C51" s="117"/>
      <c r="D51" s="117"/>
      <c r="E51" s="117"/>
      <c r="F51" s="118"/>
      <c r="G51" s="118"/>
    </row>
    <row r="52" spans="2:7">
      <c r="B52" s="109"/>
      <c r="C52" s="117"/>
      <c r="D52" s="117"/>
      <c r="E52" s="117"/>
      <c r="F52" s="118"/>
      <c r="G52" s="118"/>
    </row>
    <row r="53" spans="2:7">
      <c r="B53" s="109"/>
      <c r="C53" s="117"/>
      <c r="D53" s="117"/>
      <c r="E53" s="117"/>
      <c r="F53" s="118"/>
      <c r="G53" s="118"/>
    </row>
    <row r="54" spans="2:7">
      <c r="B54" s="109"/>
      <c r="C54" s="117"/>
      <c r="D54" s="117"/>
      <c r="E54" s="117"/>
      <c r="F54" s="118"/>
      <c r="G54" s="118"/>
    </row>
    <row r="55" spans="2:7">
      <c r="B55" s="109"/>
      <c r="C55" s="117"/>
      <c r="D55" s="117"/>
      <c r="E55" s="117"/>
      <c r="F55" s="118"/>
      <c r="G55" s="118"/>
    </row>
    <row r="56" spans="2:7">
      <c r="B56" s="109"/>
      <c r="C56" s="117"/>
      <c r="D56" s="117"/>
      <c r="E56" s="117"/>
      <c r="F56" s="118"/>
      <c r="G56" s="118"/>
    </row>
    <row r="57" spans="2:7">
      <c r="B57" s="109"/>
      <c r="C57" s="117"/>
      <c r="D57" s="117"/>
      <c r="E57" s="117"/>
      <c r="F57" s="118"/>
      <c r="G57" s="118"/>
    </row>
    <row r="58" spans="2:7">
      <c r="B58" s="109"/>
      <c r="C58" s="117"/>
      <c r="D58" s="117"/>
      <c r="E58" s="117"/>
      <c r="F58" s="118"/>
      <c r="G58" s="118"/>
    </row>
    <row r="59" spans="2:7">
      <c r="B59" s="109"/>
      <c r="C59" s="117"/>
      <c r="D59" s="117"/>
      <c r="E59" s="117"/>
      <c r="F59" s="118"/>
      <c r="G59" s="118"/>
    </row>
    <row r="60" spans="2:7">
      <c r="B60" s="109"/>
      <c r="C60" s="117"/>
      <c r="D60" s="117"/>
      <c r="E60" s="117"/>
      <c r="F60" s="118"/>
      <c r="G60" s="118"/>
    </row>
    <row r="61" spans="2:7">
      <c r="B61" s="109"/>
      <c r="C61" s="117"/>
      <c r="D61" s="117"/>
      <c r="E61" s="117"/>
      <c r="F61" s="118"/>
      <c r="G61" s="118"/>
    </row>
    <row r="62" spans="2:7">
      <c r="B62" s="109"/>
      <c r="C62" s="117"/>
      <c r="D62" s="117"/>
      <c r="E62" s="117"/>
      <c r="F62" s="118"/>
      <c r="G62" s="118"/>
    </row>
    <row r="63" spans="2:7">
      <c r="B63" s="109"/>
      <c r="C63" s="117"/>
      <c r="D63" s="117"/>
      <c r="E63" s="117"/>
      <c r="F63" s="118"/>
      <c r="G63" s="118"/>
    </row>
    <row r="64" spans="2:7">
      <c r="B64" s="109"/>
      <c r="C64" s="117"/>
      <c r="D64" s="117"/>
      <c r="E64" s="117"/>
      <c r="F64" s="118"/>
      <c r="G64" s="118"/>
    </row>
    <row r="65" spans="2:7">
      <c r="B65" s="109"/>
      <c r="C65" s="117"/>
      <c r="D65" s="117"/>
      <c r="E65" s="117"/>
      <c r="F65" s="118"/>
      <c r="G65" s="118"/>
    </row>
    <row r="66" spans="2:7">
      <c r="B66" s="109"/>
      <c r="C66" s="117"/>
      <c r="D66" s="117"/>
      <c r="E66" s="117"/>
      <c r="F66" s="118"/>
      <c r="G66" s="118"/>
    </row>
    <row r="67" spans="2:7">
      <c r="B67" s="109"/>
      <c r="C67" s="117"/>
      <c r="D67" s="117"/>
      <c r="E67" s="117"/>
      <c r="F67" s="118"/>
      <c r="G67" s="118"/>
    </row>
    <row r="68" spans="2:7">
      <c r="B68" s="109"/>
      <c r="C68" s="117"/>
      <c r="D68" s="117"/>
      <c r="E68" s="117"/>
      <c r="F68" s="118"/>
      <c r="G68" s="118"/>
    </row>
    <row r="69" spans="2:7">
      <c r="B69" s="109"/>
      <c r="C69" s="117"/>
      <c r="D69" s="117"/>
      <c r="E69" s="117"/>
      <c r="F69" s="118"/>
      <c r="G69" s="118"/>
    </row>
    <row r="70" spans="2:7">
      <c r="B70" s="109"/>
      <c r="C70" s="117"/>
      <c r="D70" s="117"/>
      <c r="E70" s="117"/>
      <c r="F70" s="118"/>
      <c r="G70" s="118"/>
    </row>
    <row r="71" spans="2:7">
      <c r="B71" s="109"/>
      <c r="C71" s="117"/>
      <c r="D71" s="117"/>
      <c r="E71" s="117"/>
      <c r="F71" s="119"/>
      <c r="G71" s="119"/>
    </row>
    <row r="72" spans="2:7">
      <c r="B72" s="109"/>
      <c r="C72" s="117"/>
      <c r="D72" s="117"/>
      <c r="E72" s="117"/>
      <c r="F72" s="119"/>
      <c r="G72" s="119"/>
    </row>
    <row r="73" spans="2:7">
      <c r="B73" s="109"/>
      <c r="C73" s="117"/>
      <c r="D73" s="117"/>
      <c r="E73" s="117"/>
      <c r="F73" s="119"/>
      <c r="G73" s="119"/>
    </row>
    <row r="74" spans="2:7">
      <c r="B74" s="109"/>
      <c r="C74" s="120"/>
      <c r="D74" s="120"/>
      <c r="E74" s="120"/>
      <c r="F74" s="119"/>
      <c r="G74" s="119"/>
    </row>
    <row r="75" spans="2:7">
      <c r="B75" s="109"/>
      <c r="C75" s="120"/>
      <c r="D75" s="120"/>
      <c r="E75" s="120"/>
      <c r="F75" s="119"/>
      <c r="G75" s="119"/>
    </row>
    <row r="76" spans="2:7">
      <c r="B76" s="109"/>
      <c r="C76" s="120"/>
      <c r="D76" s="120"/>
      <c r="E76" s="120"/>
      <c r="F76" s="119"/>
      <c r="G76" s="119"/>
    </row>
    <row r="77" spans="2:7">
      <c r="B77" s="109"/>
      <c r="C77" s="120"/>
      <c r="D77" s="120"/>
      <c r="E77" s="120"/>
      <c r="F77" s="119"/>
      <c r="G77" s="119"/>
    </row>
    <row r="78" spans="2:7">
      <c r="B78" s="109"/>
      <c r="C78" s="120"/>
      <c r="D78" s="120"/>
      <c r="E78" s="120"/>
      <c r="F78" s="119"/>
      <c r="G78" s="119"/>
    </row>
    <row r="79" spans="2:7">
      <c r="B79" s="109"/>
      <c r="C79" s="120"/>
      <c r="D79" s="120"/>
      <c r="E79" s="120"/>
      <c r="F79" s="119"/>
      <c r="G79" s="119"/>
    </row>
    <row r="80" spans="2:7">
      <c r="B80" s="109"/>
      <c r="C80" s="120"/>
      <c r="D80" s="120"/>
      <c r="E80" s="120"/>
      <c r="F80" s="119"/>
      <c r="G80" s="119"/>
    </row>
    <row r="81" spans="2:7">
      <c r="B81" s="109"/>
      <c r="C81" s="120"/>
      <c r="D81" s="120"/>
      <c r="E81" s="120"/>
      <c r="F81" s="119"/>
      <c r="G81" s="119"/>
    </row>
    <row r="82" spans="2:7">
      <c r="B82" s="109"/>
      <c r="C82" s="120"/>
      <c r="D82" s="120"/>
      <c r="E82" s="120"/>
      <c r="F82" s="119"/>
      <c r="G82" s="119"/>
    </row>
    <row r="83" spans="2:7">
      <c r="B83" s="109"/>
      <c r="C83" s="120"/>
      <c r="D83" s="120"/>
      <c r="E83" s="120"/>
      <c r="F83" s="119"/>
      <c r="G83" s="119"/>
    </row>
    <row r="84" spans="2:7">
      <c r="B84" s="109"/>
      <c r="C84" s="120"/>
      <c r="D84" s="120"/>
      <c r="E84" s="120"/>
      <c r="F84" s="119"/>
      <c r="G84" s="119"/>
    </row>
    <row r="85" spans="2:7">
      <c r="B85" s="109"/>
      <c r="C85" s="120"/>
      <c r="D85" s="120"/>
      <c r="E85" s="120"/>
      <c r="F85" s="119"/>
      <c r="G85" s="119"/>
    </row>
    <row r="86" spans="2:7">
      <c r="B86" s="109"/>
      <c r="C86" s="120"/>
      <c r="D86" s="120"/>
      <c r="E86" s="120"/>
      <c r="F86" s="119"/>
      <c r="G86" s="119"/>
    </row>
    <row r="87" spans="2:7">
      <c r="B87" s="109"/>
      <c r="C87" s="120"/>
      <c r="D87" s="120"/>
      <c r="E87" s="120"/>
      <c r="F87" s="119"/>
      <c r="G87" s="119"/>
    </row>
    <row r="88" spans="2:7">
      <c r="B88" s="109"/>
      <c r="C88" s="120"/>
      <c r="D88" s="120"/>
      <c r="E88" s="120"/>
      <c r="F88" s="119"/>
      <c r="G88" s="119"/>
    </row>
    <row r="89" spans="2:7">
      <c r="B89" s="109"/>
      <c r="C89" s="120"/>
      <c r="D89" s="120"/>
      <c r="E89" s="120"/>
      <c r="F89" s="119"/>
      <c r="G89" s="119"/>
    </row>
    <row r="90" spans="2:7">
      <c r="B90" s="109"/>
      <c r="C90" s="120"/>
      <c r="D90" s="120"/>
      <c r="E90" s="120"/>
      <c r="F90" s="119"/>
      <c r="G90" s="119"/>
    </row>
    <row r="91" spans="2:7">
      <c r="B91" s="109"/>
      <c r="C91" s="120"/>
      <c r="D91" s="120"/>
      <c r="E91" s="120"/>
      <c r="F91" s="119"/>
      <c r="G91" s="119"/>
    </row>
    <row r="92" spans="2:7">
      <c r="B92" s="109"/>
      <c r="C92" s="120"/>
      <c r="D92" s="120"/>
      <c r="E92" s="120"/>
      <c r="F92" s="119"/>
      <c r="G92" s="119"/>
    </row>
    <row r="93" spans="2:7">
      <c r="B93" s="109"/>
      <c r="C93" s="120"/>
      <c r="D93" s="120"/>
      <c r="E93" s="120"/>
      <c r="F93" s="119"/>
      <c r="G93" s="119"/>
    </row>
    <row r="94" spans="2:7">
      <c r="B94" s="109"/>
      <c r="C94" s="120"/>
      <c r="D94" s="120"/>
      <c r="E94" s="120"/>
      <c r="F94" s="119"/>
      <c r="G94" s="119"/>
    </row>
    <row r="95" spans="2:7">
      <c r="B95" s="109"/>
      <c r="C95" s="120"/>
      <c r="D95" s="120"/>
      <c r="E95" s="120"/>
      <c r="F95" s="119"/>
      <c r="G95" s="119"/>
    </row>
    <row r="96" spans="2:7">
      <c r="B96" s="109"/>
      <c r="C96" s="120"/>
      <c r="D96" s="120"/>
      <c r="E96" s="120"/>
      <c r="F96" s="119"/>
      <c r="G96" s="119"/>
    </row>
    <row r="97" spans="2:7">
      <c r="B97" s="109"/>
      <c r="C97" s="120"/>
      <c r="D97" s="120"/>
      <c r="E97" s="120"/>
      <c r="F97" s="119"/>
      <c r="G97" s="119"/>
    </row>
    <row r="98" spans="2:7">
      <c r="B98" s="121"/>
      <c r="C98" s="122"/>
      <c r="D98" s="122"/>
      <c r="E98" s="122"/>
    </row>
    <row r="99" spans="2:7">
      <c r="B99" s="121"/>
      <c r="C99" s="122"/>
      <c r="D99" s="122"/>
      <c r="E99" s="122"/>
    </row>
    <row r="100" spans="2:7">
      <c r="B100" s="121"/>
      <c r="C100" s="122"/>
      <c r="D100" s="122"/>
      <c r="E100" s="122"/>
    </row>
    <row r="101" spans="2:7">
      <c r="B101" s="121"/>
      <c r="C101" s="122"/>
      <c r="D101" s="122"/>
      <c r="E101" s="122"/>
    </row>
    <row r="102" spans="2:7">
      <c r="B102" s="121"/>
      <c r="C102" s="122"/>
      <c r="D102" s="122"/>
      <c r="E102" s="122"/>
    </row>
    <row r="103" spans="2:7">
      <c r="B103" s="121"/>
      <c r="C103" s="122"/>
      <c r="D103" s="122"/>
      <c r="E103" s="122"/>
    </row>
    <row r="104" spans="2:7">
      <c r="B104" s="121"/>
      <c r="C104" s="122"/>
      <c r="D104" s="122"/>
      <c r="E104" s="122"/>
    </row>
    <row r="105" spans="2:7">
      <c r="B105" s="121"/>
      <c r="C105" s="122"/>
      <c r="D105" s="122"/>
      <c r="E105" s="122"/>
    </row>
    <row r="106" spans="2:7">
      <c r="B106" s="121"/>
      <c r="C106" s="122"/>
      <c r="D106" s="122"/>
      <c r="E106" s="122"/>
    </row>
    <row r="107" spans="2:7">
      <c r="B107" s="121"/>
      <c r="C107" s="122"/>
      <c r="D107" s="122"/>
      <c r="E107" s="122"/>
    </row>
    <row r="108" spans="2:7">
      <c r="B108" s="121"/>
      <c r="C108" s="122"/>
      <c r="D108" s="122"/>
      <c r="E108" s="122"/>
    </row>
    <row r="109" spans="2:7">
      <c r="B109" s="121"/>
      <c r="C109" s="122"/>
      <c r="D109" s="122"/>
      <c r="E109" s="122"/>
    </row>
    <row r="110" spans="2:7">
      <c r="B110" s="121"/>
      <c r="C110" s="122"/>
      <c r="D110" s="122"/>
      <c r="E110" s="122"/>
    </row>
    <row r="111" spans="2:7">
      <c r="B111" s="121"/>
      <c r="C111" s="122"/>
      <c r="D111" s="122"/>
      <c r="E111" s="122"/>
    </row>
    <row r="112" spans="2:7">
      <c r="B112" s="121"/>
      <c r="C112" s="122"/>
      <c r="D112" s="122"/>
      <c r="E112" s="122"/>
    </row>
    <row r="113" spans="2:5">
      <c r="B113" s="121"/>
      <c r="C113" s="122"/>
      <c r="D113" s="122"/>
      <c r="E113" s="122"/>
    </row>
    <row r="114" spans="2:5">
      <c r="B114" s="122"/>
      <c r="C114" s="122"/>
      <c r="D114" s="122"/>
      <c r="E114" s="122"/>
    </row>
    <row r="115" spans="2:5">
      <c r="B115" s="122"/>
      <c r="C115" s="122"/>
      <c r="D115" s="122"/>
      <c r="E115" s="122"/>
    </row>
    <row r="116" spans="2:5">
      <c r="B116" s="122"/>
      <c r="C116" s="122"/>
      <c r="D116" s="122"/>
      <c r="E116" s="122"/>
    </row>
    <row r="117" spans="2:5">
      <c r="B117" s="122"/>
      <c r="C117" s="122"/>
      <c r="D117" s="122"/>
      <c r="E117" s="122"/>
    </row>
    <row r="118" spans="2:5">
      <c r="B118" s="122"/>
      <c r="C118" s="122"/>
      <c r="D118" s="122"/>
      <c r="E118" s="122"/>
    </row>
    <row r="119" spans="2:5">
      <c r="B119" s="122"/>
      <c r="C119" s="122"/>
      <c r="D119" s="122"/>
      <c r="E119" s="122"/>
    </row>
    <row r="120" spans="2:5">
      <c r="B120" s="122"/>
      <c r="C120" s="122"/>
      <c r="D120" s="122"/>
      <c r="E120" s="122"/>
    </row>
    <row r="121" spans="2:5">
      <c r="B121" s="122"/>
      <c r="C121" s="122"/>
      <c r="D121" s="122"/>
      <c r="E121" s="122"/>
    </row>
    <row r="122" spans="2:5">
      <c r="B122" s="122"/>
      <c r="C122" s="122"/>
      <c r="D122" s="122"/>
      <c r="E122" s="122"/>
    </row>
    <row r="123" spans="2:5">
      <c r="B123" s="122"/>
      <c r="C123" s="122"/>
      <c r="D123" s="122"/>
      <c r="E123" s="122"/>
    </row>
    <row r="124" spans="2:5">
      <c r="B124" s="122"/>
      <c r="C124" s="122"/>
      <c r="D124" s="122"/>
      <c r="E124" s="122"/>
    </row>
    <row r="125" spans="2:5">
      <c r="B125" s="122"/>
      <c r="C125" s="122"/>
      <c r="D125" s="122"/>
      <c r="E125" s="122"/>
    </row>
    <row r="126" spans="2:5">
      <c r="B126" s="122"/>
      <c r="C126" s="122"/>
      <c r="D126" s="122"/>
      <c r="E126" s="122"/>
    </row>
    <row r="127" spans="2:5">
      <c r="B127" s="122"/>
      <c r="C127" s="122"/>
      <c r="D127" s="122"/>
      <c r="E127" s="122"/>
    </row>
    <row r="128" spans="2:5">
      <c r="B128" s="122"/>
      <c r="C128" s="122"/>
      <c r="D128" s="122"/>
      <c r="E128" s="122"/>
    </row>
    <row r="129" spans="2:5">
      <c r="B129" s="122"/>
      <c r="C129" s="122"/>
      <c r="D129" s="122"/>
      <c r="E129" s="122"/>
    </row>
    <row r="130" spans="2:5">
      <c r="B130" s="122"/>
      <c r="C130" s="122"/>
      <c r="D130" s="122"/>
      <c r="E130" s="122"/>
    </row>
    <row r="131" spans="2:5">
      <c r="B131" s="122"/>
      <c r="C131" s="122"/>
      <c r="D131" s="122"/>
      <c r="E131" s="122"/>
    </row>
    <row r="132" spans="2:5">
      <c r="B132" s="122"/>
      <c r="C132" s="122"/>
      <c r="D132" s="122"/>
      <c r="E132" s="122"/>
    </row>
    <row r="133" spans="2:5">
      <c r="B133" s="122"/>
      <c r="C133" s="122"/>
      <c r="D133" s="122"/>
      <c r="E133" s="122"/>
    </row>
    <row r="134" spans="2:5">
      <c r="B134" s="122"/>
      <c r="C134" s="122"/>
      <c r="D134" s="122"/>
      <c r="E134" s="122"/>
    </row>
    <row r="135" spans="2:5">
      <c r="B135" s="122"/>
      <c r="C135" s="122"/>
      <c r="D135" s="122"/>
      <c r="E135" s="122"/>
    </row>
    <row r="136" spans="2:5">
      <c r="B136" s="122"/>
      <c r="C136" s="122"/>
      <c r="D136" s="122"/>
      <c r="E136" s="122"/>
    </row>
    <row r="137" spans="2:5">
      <c r="B137" s="122"/>
      <c r="C137" s="122"/>
      <c r="D137" s="122"/>
      <c r="E137" s="122"/>
    </row>
    <row r="138" spans="2:5">
      <c r="B138" s="122"/>
      <c r="C138" s="122"/>
      <c r="D138" s="122"/>
      <c r="E138" s="122"/>
    </row>
    <row r="139" spans="2:5">
      <c r="B139" s="122"/>
      <c r="C139" s="122"/>
      <c r="D139" s="122"/>
      <c r="E139" s="122"/>
    </row>
    <row r="140" spans="2:5">
      <c r="B140" s="122"/>
      <c r="C140" s="122"/>
      <c r="D140" s="122"/>
      <c r="E140" s="122"/>
    </row>
    <row r="141" spans="2:5">
      <c r="B141" s="122"/>
      <c r="C141" s="122"/>
      <c r="D141" s="122"/>
      <c r="E141" s="122"/>
    </row>
    <row r="142" spans="2:5">
      <c r="B142" s="122"/>
      <c r="C142" s="122"/>
      <c r="D142" s="122"/>
      <c r="E142" s="122"/>
    </row>
    <row r="143" spans="2:5">
      <c r="B143" s="122"/>
      <c r="C143" s="122"/>
      <c r="D143" s="122"/>
      <c r="E143" s="122"/>
    </row>
    <row r="144" spans="2:5">
      <c r="B144" s="122"/>
      <c r="C144" s="122"/>
      <c r="D144" s="122"/>
      <c r="E144" s="122"/>
    </row>
    <row r="145" spans="2:5">
      <c r="B145" s="122"/>
      <c r="C145" s="122"/>
      <c r="D145" s="122"/>
      <c r="E145" s="122"/>
    </row>
    <row r="146" spans="2:5">
      <c r="B146" s="122"/>
      <c r="C146" s="122"/>
      <c r="D146" s="122"/>
      <c r="E146" s="122"/>
    </row>
    <row r="147" spans="2:5">
      <c r="B147" s="122"/>
      <c r="C147" s="122"/>
      <c r="D147" s="122"/>
      <c r="E147" s="122"/>
    </row>
    <row r="148" spans="2:5">
      <c r="B148" s="122"/>
      <c r="C148" s="122"/>
      <c r="D148" s="122"/>
      <c r="E148" s="122"/>
    </row>
    <row r="149" spans="2:5">
      <c r="B149" s="122"/>
      <c r="C149" s="122"/>
      <c r="D149" s="122"/>
      <c r="E149" s="122"/>
    </row>
    <row r="150" spans="2:5">
      <c r="B150" s="122"/>
      <c r="C150" s="122"/>
      <c r="D150" s="122"/>
      <c r="E150" s="122"/>
    </row>
  </sheetData>
  <mergeCells count="25">
    <mergeCell ref="H22:H23"/>
    <mergeCell ref="B13:B14"/>
    <mergeCell ref="A16:A17"/>
    <mergeCell ref="B16:B17"/>
    <mergeCell ref="A13:A14"/>
    <mergeCell ref="B1:F1"/>
    <mergeCell ref="A2:H2"/>
    <mergeCell ref="B11:B12"/>
    <mergeCell ref="A3:A4"/>
    <mergeCell ref="B3:B4"/>
    <mergeCell ref="C3:C4"/>
    <mergeCell ref="D3:D4"/>
    <mergeCell ref="F3:G3"/>
    <mergeCell ref="H3:H4"/>
    <mergeCell ref="E3:E4"/>
    <mergeCell ref="A11:A12"/>
    <mergeCell ref="A9:A10"/>
    <mergeCell ref="B9:B10"/>
    <mergeCell ref="C9:C10"/>
    <mergeCell ref="A24:D24"/>
    <mergeCell ref="A19:A20"/>
    <mergeCell ref="B19:B20"/>
    <mergeCell ref="A22:A23"/>
    <mergeCell ref="B22:B23"/>
    <mergeCell ref="C22:C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1" manualBreakCount="1">
    <brk id="1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H24"/>
  <sheetViews>
    <sheetView view="pageBreakPreview" zoomScaleNormal="100" zoomScaleSheetLayoutView="100" workbookViewId="0">
      <selection activeCell="F1" sqref="F1:H1"/>
    </sheetView>
  </sheetViews>
  <sheetFormatPr defaultRowHeight="12.75"/>
  <cols>
    <col min="1" max="1" width="10.7109375" style="1" customWidth="1"/>
    <col min="2" max="2" width="10.5703125" style="1" customWidth="1"/>
    <col min="3" max="3" width="17.140625" style="1" customWidth="1"/>
    <col min="4" max="4" width="12.140625" style="1" customWidth="1"/>
    <col min="5" max="5" width="15.85546875" style="1" customWidth="1"/>
    <col min="6" max="7" width="19" style="1" customWidth="1"/>
    <col min="8" max="8" width="52.5703125" style="1" customWidth="1"/>
    <col min="9" max="258" width="9.140625" style="1"/>
    <col min="259" max="259" width="10.7109375" style="1" customWidth="1"/>
    <col min="260" max="260" width="10.5703125" style="1" customWidth="1"/>
    <col min="261" max="261" width="10.28515625" style="1" customWidth="1"/>
    <col min="262" max="262" width="13.28515625" style="1" customWidth="1"/>
    <col min="263" max="263" width="13.42578125" style="1" customWidth="1"/>
    <col min="264" max="264" width="54.42578125" style="1" customWidth="1"/>
    <col min="265" max="514" width="9.140625" style="1"/>
    <col min="515" max="515" width="10.7109375" style="1" customWidth="1"/>
    <col min="516" max="516" width="10.5703125" style="1" customWidth="1"/>
    <col min="517" max="517" width="10.28515625" style="1" customWidth="1"/>
    <col min="518" max="518" width="13.28515625" style="1" customWidth="1"/>
    <col min="519" max="519" width="13.42578125" style="1" customWidth="1"/>
    <col min="520" max="520" width="54.42578125" style="1" customWidth="1"/>
    <col min="521" max="770" width="9.140625" style="1"/>
    <col min="771" max="771" width="10.7109375" style="1" customWidth="1"/>
    <col min="772" max="772" width="10.5703125" style="1" customWidth="1"/>
    <col min="773" max="773" width="10.28515625" style="1" customWidth="1"/>
    <col min="774" max="774" width="13.28515625" style="1" customWidth="1"/>
    <col min="775" max="775" width="13.42578125" style="1" customWidth="1"/>
    <col min="776" max="776" width="54.42578125" style="1" customWidth="1"/>
    <col min="777" max="1026" width="9.140625" style="1"/>
    <col min="1027" max="1027" width="10.7109375" style="1" customWidth="1"/>
    <col min="1028" max="1028" width="10.5703125" style="1" customWidth="1"/>
    <col min="1029" max="1029" width="10.28515625" style="1" customWidth="1"/>
    <col min="1030" max="1030" width="13.28515625" style="1" customWidth="1"/>
    <col min="1031" max="1031" width="13.42578125" style="1" customWidth="1"/>
    <col min="1032" max="1032" width="54.42578125" style="1" customWidth="1"/>
    <col min="1033" max="1282" width="9.140625" style="1"/>
    <col min="1283" max="1283" width="10.7109375" style="1" customWidth="1"/>
    <col min="1284" max="1284" width="10.5703125" style="1" customWidth="1"/>
    <col min="1285" max="1285" width="10.28515625" style="1" customWidth="1"/>
    <col min="1286" max="1286" width="13.28515625" style="1" customWidth="1"/>
    <col min="1287" max="1287" width="13.42578125" style="1" customWidth="1"/>
    <col min="1288" max="1288" width="54.42578125" style="1" customWidth="1"/>
    <col min="1289" max="1538" width="9.140625" style="1"/>
    <col min="1539" max="1539" width="10.7109375" style="1" customWidth="1"/>
    <col min="1540" max="1540" width="10.5703125" style="1" customWidth="1"/>
    <col min="1541" max="1541" width="10.28515625" style="1" customWidth="1"/>
    <col min="1542" max="1542" width="13.28515625" style="1" customWidth="1"/>
    <col min="1543" max="1543" width="13.42578125" style="1" customWidth="1"/>
    <col min="1544" max="1544" width="54.42578125" style="1" customWidth="1"/>
    <col min="1545" max="1794" width="9.140625" style="1"/>
    <col min="1795" max="1795" width="10.7109375" style="1" customWidth="1"/>
    <col min="1796" max="1796" width="10.5703125" style="1" customWidth="1"/>
    <col min="1797" max="1797" width="10.28515625" style="1" customWidth="1"/>
    <col min="1798" max="1798" width="13.28515625" style="1" customWidth="1"/>
    <col min="1799" max="1799" width="13.42578125" style="1" customWidth="1"/>
    <col min="1800" max="1800" width="54.42578125" style="1" customWidth="1"/>
    <col min="1801" max="2050" width="9.140625" style="1"/>
    <col min="2051" max="2051" width="10.7109375" style="1" customWidth="1"/>
    <col min="2052" max="2052" width="10.5703125" style="1" customWidth="1"/>
    <col min="2053" max="2053" width="10.28515625" style="1" customWidth="1"/>
    <col min="2054" max="2054" width="13.28515625" style="1" customWidth="1"/>
    <col min="2055" max="2055" width="13.42578125" style="1" customWidth="1"/>
    <col min="2056" max="2056" width="54.42578125" style="1" customWidth="1"/>
    <col min="2057" max="2306" width="9.140625" style="1"/>
    <col min="2307" max="2307" width="10.7109375" style="1" customWidth="1"/>
    <col min="2308" max="2308" width="10.5703125" style="1" customWidth="1"/>
    <col min="2309" max="2309" width="10.28515625" style="1" customWidth="1"/>
    <col min="2310" max="2310" width="13.28515625" style="1" customWidth="1"/>
    <col min="2311" max="2311" width="13.42578125" style="1" customWidth="1"/>
    <col min="2312" max="2312" width="54.42578125" style="1" customWidth="1"/>
    <col min="2313" max="2562" width="9.140625" style="1"/>
    <col min="2563" max="2563" width="10.7109375" style="1" customWidth="1"/>
    <col min="2564" max="2564" width="10.5703125" style="1" customWidth="1"/>
    <col min="2565" max="2565" width="10.28515625" style="1" customWidth="1"/>
    <col min="2566" max="2566" width="13.28515625" style="1" customWidth="1"/>
    <col min="2567" max="2567" width="13.42578125" style="1" customWidth="1"/>
    <col min="2568" max="2568" width="54.42578125" style="1" customWidth="1"/>
    <col min="2569" max="2818" width="9.140625" style="1"/>
    <col min="2819" max="2819" width="10.7109375" style="1" customWidth="1"/>
    <col min="2820" max="2820" width="10.5703125" style="1" customWidth="1"/>
    <col min="2821" max="2821" width="10.28515625" style="1" customWidth="1"/>
    <col min="2822" max="2822" width="13.28515625" style="1" customWidth="1"/>
    <col min="2823" max="2823" width="13.42578125" style="1" customWidth="1"/>
    <col min="2824" max="2824" width="54.42578125" style="1" customWidth="1"/>
    <col min="2825" max="3074" width="9.140625" style="1"/>
    <col min="3075" max="3075" width="10.7109375" style="1" customWidth="1"/>
    <col min="3076" max="3076" width="10.5703125" style="1" customWidth="1"/>
    <col min="3077" max="3077" width="10.28515625" style="1" customWidth="1"/>
    <col min="3078" max="3078" width="13.28515625" style="1" customWidth="1"/>
    <col min="3079" max="3079" width="13.42578125" style="1" customWidth="1"/>
    <col min="3080" max="3080" width="54.42578125" style="1" customWidth="1"/>
    <col min="3081" max="3330" width="9.140625" style="1"/>
    <col min="3331" max="3331" width="10.7109375" style="1" customWidth="1"/>
    <col min="3332" max="3332" width="10.5703125" style="1" customWidth="1"/>
    <col min="3333" max="3333" width="10.28515625" style="1" customWidth="1"/>
    <col min="3334" max="3334" width="13.28515625" style="1" customWidth="1"/>
    <col min="3335" max="3335" width="13.42578125" style="1" customWidth="1"/>
    <col min="3336" max="3336" width="54.42578125" style="1" customWidth="1"/>
    <col min="3337" max="3586" width="9.140625" style="1"/>
    <col min="3587" max="3587" width="10.7109375" style="1" customWidth="1"/>
    <col min="3588" max="3588" width="10.5703125" style="1" customWidth="1"/>
    <col min="3589" max="3589" width="10.28515625" style="1" customWidth="1"/>
    <col min="3590" max="3590" width="13.28515625" style="1" customWidth="1"/>
    <col min="3591" max="3591" width="13.42578125" style="1" customWidth="1"/>
    <col min="3592" max="3592" width="54.42578125" style="1" customWidth="1"/>
    <col min="3593" max="3842" width="9.140625" style="1"/>
    <col min="3843" max="3843" width="10.7109375" style="1" customWidth="1"/>
    <col min="3844" max="3844" width="10.5703125" style="1" customWidth="1"/>
    <col min="3845" max="3845" width="10.28515625" style="1" customWidth="1"/>
    <col min="3846" max="3846" width="13.28515625" style="1" customWidth="1"/>
    <col min="3847" max="3847" width="13.42578125" style="1" customWidth="1"/>
    <col min="3848" max="3848" width="54.42578125" style="1" customWidth="1"/>
    <col min="3849" max="4098" width="9.140625" style="1"/>
    <col min="4099" max="4099" width="10.7109375" style="1" customWidth="1"/>
    <col min="4100" max="4100" width="10.5703125" style="1" customWidth="1"/>
    <col min="4101" max="4101" width="10.28515625" style="1" customWidth="1"/>
    <col min="4102" max="4102" width="13.28515625" style="1" customWidth="1"/>
    <col min="4103" max="4103" width="13.42578125" style="1" customWidth="1"/>
    <col min="4104" max="4104" width="54.42578125" style="1" customWidth="1"/>
    <col min="4105" max="4354" width="9.140625" style="1"/>
    <col min="4355" max="4355" width="10.7109375" style="1" customWidth="1"/>
    <col min="4356" max="4356" width="10.5703125" style="1" customWidth="1"/>
    <col min="4357" max="4357" width="10.28515625" style="1" customWidth="1"/>
    <col min="4358" max="4358" width="13.28515625" style="1" customWidth="1"/>
    <col min="4359" max="4359" width="13.42578125" style="1" customWidth="1"/>
    <col min="4360" max="4360" width="54.42578125" style="1" customWidth="1"/>
    <col min="4361" max="4610" width="9.140625" style="1"/>
    <col min="4611" max="4611" width="10.7109375" style="1" customWidth="1"/>
    <col min="4612" max="4612" width="10.5703125" style="1" customWidth="1"/>
    <col min="4613" max="4613" width="10.28515625" style="1" customWidth="1"/>
    <col min="4614" max="4614" width="13.28515625" style="1" customWidth="1"/>
    <col min="4615" max="4615" width="13.42578125" style="1" customWidth="1"/>
    <col min="4616" max="4616" width="54.42578125" style="1" customWidth="1"/>
    <col min="4617" max="4866" width="9.140625" style="1"/>
    <col min="4867" max="4867" width="10.7109375" style="1" customWidth="1"/>
    <col min="4868" max="4868" width="10.5703125" style="1" customWidth="1"/>
    <col min="4869" max="4869" width="10.28515625" style="1" customWidth="1"/>
    <col min="4870" max="4870" width="13.28515625" style="1" customWidth="1"/>
    <col min="4871" max="4871" width="13.42578125" style="1" customWidth="1"/>
    <col min="4872" max="4872" width="54.42578125" style="1" customWidth="1"/>
    <col min="4873" max="5122" width="9.140625" style="1"/>
    <col min="5123" max="5123" width="10.7109375" style="1" customWidth="1"/>
    <col min="5124" max="5124" width="10.5703125" style="1" customWidth="1"/>
    <col min="5125" max="5125" width="10.28515625" style="1" customWidth="1"/>
    <col min="5126" max="5126" width="13.28515625" style="1" customWidth="1"/>
    <col min="5127" max="5127" width="13.42578125" style="1" customWidth="1"/>
    <col min="5128" max="5128" width="54.42578125" style="1" customWidth="1"/>
    <col min="5129" max="5378" width="9.140625" style="1"/>
    <col min="5379" max="5379" width="10.7109375" style="1" customWidth="1"/>
    <col min="5380" max="5380" width="10.5703125" style="1" customWidth="1"/>
    <col min="5381" max="5381" width="10.28515625" style="1" customWidth="1"/>
    <col min="5382" max="5382" width="13.28515625" style="1" customWidth="1"/>
    <col min="5383" max="5383" width="13.42578125" style="1" customWidth="1"/>
    <col min="5384" max="5384" width="54.42578125" style="1" customWidth="1"/>
    <col min="5385" max="5634" width="9.140625" style="1"/>
    <col min="5635" max="5635" width="10.7109375" style="1" customWidth="1"/>
    <col min="5636" max="5636" width="10.5703125" style="1" customWidth="1"/>
    <col min="5637" max="5637" width="10.28515625" style="1" customWidth="1"/>
    <col min="5638" max="5638" width="13.28515625" style="1" customWidth="1"/>
    <col min="5639" max="5639" width="13.42578125" style="1" customWidth="1"/>
    <col min="5640" max="5640" width="54.42578125" style="1" customWidth="1"/>
    <col min="5641" max="5890" width="9.140625" style="1"/>
    <col min="5891" max="5891" width="10.7109375" style="1" customWidth="1"/>
    <col min="5892" max="5892" width="10.5703125" style="1" customWidth="1"/>
    <col min="5893" max="5893" width="10.28515625" style="1" customWidth="1"/>
    <col min="5894" max="5894" width="13.28515625" style="1" customWidth="1"/>
    <col min="5895" max="5895" width="13.42578125" style="1" customWidth="1"/>
    <col min="5896" max="5896" width="54.42578125" style="1" customWidth="1"/>
    <col min="5897" max="6146" width="9.140625" style="1"/>
    <col min="6147" max="6147" width="10.7109375" style="1" customWidth="1"/>
    <col min="6148" max="6148" width="10.5703125" style="1" customWidth="1"/>
    <col min="6149" max="6149" width="10.28515625" style="1" customWidth="1"/>
    <col min="6150" max="6150" width="13.28515625" style="1" customWidth="1"/>
    <col min="6151" max="6151" width="13.42578125" style="1" customWidth="1"/>
    <col min="6152" max="6152" width="54.42578125" style="1" customWidth="1"/>
    <col min="6153" max="6402" width="9.140625" style="1"/>
    <col min="6403" max="6403" width="10.7109375" style="1" customWidth="1"/>
    <col min="6404" max="6404" width="10.5703125" style="1" customWidth="1"/>
    <col min="6405" max="6405" width="10.28515625" style="1" customWidth="1"/>
    <col min="6406" max="6406" width="13.28515625" style="1" customWidth="1"/>
    <col min="6407" max="6407" width="13.42578125" style="1" customWidth="1"/>
    <col min="6408" max="6408" width="54.42578125" style="1" customWidth="1"/>
    <col min="6409" max="6658" width="9.140625" style="1"/>
    <col min="6659" max="6659" width="10.7109375" style="1" customWidth="1"/>
    <col min="6660" max="6660" width="10.5703125" style="1" customWidth="1"/>
    <col min="6661" max="6661" width="10.28515625" style="1" customWidth="1"/>
    <col min="6662" max="6662" width="13.28515625" style="1" customWidth="1"/>
    <col min="6663" max="6663" width="13.42578125" style="1" customWidth="1"/>
    <col min="6664" max="6664" width="54.42578125" style="1" customWidth="1"/>
    <col min="6665" max="6914" width="9.140625" style="1"/>
    <col min="6915" max="6915" width="10.7109375" style="1" customWidth="1"/>
    <col min="6916" max="6916" width="10.5703125" style="1" customWidth="1"/>
    <col min="6917" max="6917" width="10.28515625" style="1" customWidth="1"/>
    <col min="6918" max="6918" width="13.28515625" style="1" customWidth="1"/>
    <col min="6919" max="6919" width="13.42578125" style="1" customWidth="1"/>
    <col min="6920" max="6920" width="54.42578125" style="1" customWidth="1"/>
    <col min="6921" max="7170" width="9.140625" style="1"/>
    <col min="7171" max="7171" width="10.7109375" style="1" customWidth="1"/>
    <col min="7172" max="7172" width="10.5703125" style="1" customWidth="1"/>
    <col min="7173" max="7173" width="10.28515625" style="1" customWidth="1"/>
    <col min="7174" max="7174" width="13.28515625" style="1" customWidth="1"/>
    <col min="7175" max="7175" width="13.42578125" style="1" customWidth="1"/>
    <col min="7176" max="7176" width="54.42578125" style="1" customWidth="1"/>
    <col min="7177" max="7426" width="9.140625" style="1"/>
    <col min="7427" max="7427" width="10.7109375" style="1" customWidth="1"/>
    <col min="7428" max="7428" width="10.5703125" style="1" customWidth="1"/>
    <col min="7429" max="7429" width="10.28515625" style="1" customWidth="1"/>
    <col min="7430" max="7430" width="13.28515625" style="1" customWidth="1"/>
    <col min="7431" max="7431" width="13.42578125" style="1" customWidth="1"/>
    <col min="7432" max="7432" width="54.42578125" style="1" customWidth="1"/>
    <col min="7433" max="7682" width="9.140625" style="1"/>
    <col min="7683" max="7683" width="10.7109375" style="1" customWidth="1"/>
    <col min="7684" max="7684" width="10.5703125" style="1" customWidth="1"/>
    <col min="7685" max="7685" width="10.28515625" style="1" customWidth="1"/>
    <col min="7686" max="7686" width="13.28515625" style="1" customWidth="1"/>
    <col min="7687" max="7687" width="13.42578125" style="1" customWidth="1"/>
    <col min="7688" max="7688" width="54.42578125" style="1" customWidth="1"/>
    <col min="7689" max="7938" width="9.140625" style="1"/>
    <col min="7939" max="7939" width="10.7109375" style="1" customWidth="1"/>
    <col min="7940" max="7940" width="10.5703125" style="1" customWidth="1"/>
    <col min="7941" max="7941" width="10.28515625" style="1" customWidth="1"/>
    <col min="7942" max="7942" width="13.28515625" style="1" customWidth="1"/>
    <col min="7943" max="7943" width="13.42578125" style="1" customWidth="1"/>
    <col min="7944" max="7944" width="54.42578125" style="1" customWidth="1"/>
    <col min="7945" max="8194" width="9.140625" style="1"/>
    <col min="8195" max="8195" width="10.7109375" style="1" customWidth="1"/>
    <col min="8196" max="8196" width="10.5703125" style="1" customWidth="1"/>
    <col min="8197" max="8197" width="10.28515625" style="1" customWidth="1"/>
    <col min="8198" max="8198" width="13.28515625" style="1" customWidth="1"/>
    <col min="8199" max="8199" width="13.42578125" style="1" customWidth="1"/>
    <col min="8200" max="8200" width="54.42578125" style="1" customWidth="1"/>
    <col min="8201" max="8450" width="9.140625" style="1"/>
    <col min="8451" max="8451" width="10.7109375" style="1" customWidth="1"/>
    <col min="8452" max="8452" width="10.5703125" style="1" customWidth="1"/>
    <col min="8453" max="8453" width="10.28515625" style="1" customWidth="1"/>
    <col min="8454" max="8454" width="13.28515625" style="1" customWidth="1"/>
    <col min="8455" max="8455" width="13.42578125" style="1" customWidth="1"/>
    <col min="8456" max="8456" width="54.42578125" style="1" customWidth="1"/>
    <col min="8457" max="8706" width="9.140625" style="1"/>
    <col min="8707" max="8707" width="10.7109375" style="1" customWidth="1"/>
    <col min="8708" max="8708" width="10.5703125" style="1" customWidth="1"/>
    <col min="8709" max="8709" width="10.28515625" style="1" customWidth="1"/>
    <col min="8710" max="8710" width="13.28515625" style="1" customWidth="1"/>
    <col min="8711" max="8711" width="13.42578125" style="1" customWidth="1"/>
    <col min="8712" max="8712" width="54.42578125" style="1" customWidth="1"/>
    <col min="8713" max="8962" width="9.140625" style="1"/>
    <col min="8963" max="8963" width="10.7109375" style="1" customWidth="1"/>
    <col min="8964" max="8964" width="10.5703125" style="1" customWidth="1"/>
    <col min="8965" max="8965" width="10.28515625" style="1" customWidth="1"/>
    <col min="8966" max="8966" width="13.28515625" style="1" customWidth="1"/>
    <col min="8967" max="8967" width="13.42578125" style="1" customWidth="1"/>
    <col min="8968" max="8968" width="54.42578125" style="1" customWidth="1"/>
    <col min="8969" max="9218" width="9.140625" style="1"/>
    <col min="9219" max="9219" width="10.7109375" style="1" customWidth="1"/>
    <col min="9220" max="9220" width="10.5703125" style="1" customWidth="1"/>
    <col min="9221" max="9221" width="10.28515625" style="1" customWidth="1"/>
    <col min="9222" max="9222" width="13.28515625" style="1" customWidth="1"/>
    <col min="9223" max="9223" width="13.42578125" style="1" customWidth="1"/>
    <col min="9224" max="9224" width="54.42578125" style="1" customWidth="1"/>
    <col min="9225" max="9474" width="9.140625" style="1"/>
    <col min="9475" max="9475" width="10.7109375" style="1" customWidth="1"/>
    <col min="9476" max="9476" width="10.5703125" style="1" customWidth="1"/>
    <col min="9477" max="9477" width="10.28515625" style="1" customWidth="1"/>
    <col min="9478" max="9478" width="13.28515625" style="1" customWidth="1"/>
    <col min="9479" max="9479" width="13.42578125" style="1" customWidth="1"/>
    <col min="9480" max="9480" width="54.42578125" style="1" customWidth="1"/>
    <col min="9481" max="9730" width="9.140625" style="1"/>
    <col min="9731" max="9731" width="10.7109375" style="1" customWidth="1"/>
    <col min="9732" max="9732" width="10.5703125" style="1" customWidth="1"/>
    <col min="9733" max="9733" width="10.28515625" style="1" customWidth="1"/>
    <col min="9734" max="9734" width="13.28515625" style="1" customWidth="1"/>
    <col min="9735" max="9735" width="13.42578125" style="1" customWidth="1"/>
    <col min="9736" max="9736" width="54.42578125" style="1" customWidth="1"/>
    <col min="9737" max="9986" width="9.140625" style="1"/>
    <col min="9987" max="9987" width="10.7109375" style="1" customWidth="1"/>
    <col min="9988" max="9988" width="10.5703125" style="1" customWidth="1"/>
    <col min="9989" max="9989" width="10.28515625" style="1" customWidth="1"/>
    <col min="9990" max="9990" width="13.28515625" style="1" customWidth="1"/>
    <col min="9991" max="9991" width="13.42578125" style="1" customWidth="1"/>
    <col min="9992" max="9992" width="54.42578125" style="1" customWidth="1"/>
    <col min="9993" max="10242" width="9.140625" style="1"/>
    <col min="10243" max="10243" width="10.7109375" style="1" customWidth="1"/>
    <col min="10244" max="10244" width="10.5703125" style="1" customWidth="1"/>
    <col min="10245" max="10245" width="10.28515625" style="1" customWidth="1"/>
    <col min="10246" max="10246" width="13.28515625" style="1" customWidth="1"/>
    <col min="10247" max="10247" width="13.42578125" style="1" customWidth="1"/>
    <col min="10248" max="10248" width="54.42578125" style="1" customWidth="1"/>
    <col min="10249" max="10498" width="9.140625" style="1"/>
    <col min="10499" max="10499" width="10.7109375" style="1" customWidth="1"/>
    <col min="10500" max="10500" width="10.5703125" style="1" customWidth="1"/>
    <col min="10501" max="10501" width="10.28515625" style="1" customWidth="1"/>
    <col min="10502" max="10502" width="13.28515625" style="1" customWidth="1"/>
    <col min="10503" max="10503" width="13.42578125" style="1" customWidth="1"/>
    <col min="10504" max="10504" width="54.42578125" style="1" customWidth="1"/>
    <col min="10505" max="10754" width="9.140625" style="1"/>
    <col min="10755" max="10755" width="10.7109375" style="1" customWidth="1"/>
    <col min="10756" max="10756" width="10.5703125" style="1" customWidth="1"/>
    <col min="10757" max="10757" width="10.28515625" style="1" customWidth="1"/>
    <col min="10758" max="10758" width="13.28515625" style="1" customWidth="1"/>
    <col min="10759" max="10759" width="13.42578125" style="1" customWidth="1"/>
    <col min="10760" max="10760" width="54.42578125" style="1" customWidth="1"/>
    <col min="10761" max="11010" width="9.140625" style="1"/>
    <col min="11011" max="11011" width="10.7109375" style="1" customWidth="1"/>
    <col min="11012" max="11012" width="10.5703125" style="1" customWidth="1"/>
    <col min="11013" max="11013" width="10.28515625" style="1" customWidth="1"/>
    <col min="11014" max="11014" width="13.28515625" style="1" customWidth="1"/>
    <col min="11015" max="11015" width="13.42578125" style="1" customWidth="1"/>
    <col min="11016" max="11016" width="54.42578125" style="1" customWidth="1"/>
    <col min="11017" max="11266" width="9.140625" style="1"/>
    <col min="11267" max="11267" width="10.7109375" style="1" customWidth="1"/>
    <col min="11268" max="11268" width="10.5703125" style="1" customWidth="1"/>
    <col min="11269" max="11269" width="10.28515625" style="1" customWidth="1"/>
    <col min="11270" max="11270" width="13.28515625" style="1" customWidth="1"/>
    <col min="11271" max="11271" width="13.42578125" style="1" customWidth="1"/>
    <col min="11272" max="11272" width="54.42578125" style="1" customWidth="1"/>
    <col min="11273" max="11522" width="9.140625" style="1"/>
    <col min="11523" max="11523" width="10.7109375" style="1" customWidth="1"/>
    <col min="11524" max="11524" width="10.5703125" style="1" customWidth="1"/>
    <col min="11525" max="11525" width="10.28515625" style="1" customWidth="1"/>
    <col min="11526" max="11526" width="13.28515625" style="1" customWidth="1"/>
    <col min="11527" max="11527" width="13.42578125" style="1" customWidth="1"/>
    <col min="11528" max="11528" width="54.42578125" style="1" customWidth="1"/>
    <col min="11529" max="11778" width="9.140625" style="1"/>
    <col min="11779" max="11779" width="10.7109375" style="1" customWidth="1"/>
    <col min="11780" max="11780" width="10.5703125" style="1" customWidth="1"/>
    <col min="11781" max="11781" width="10.28515625" style="1" customWidth="1"/>
    <col min="11782" max="11782" width="13.28515625" style="1" customWidth="1"/>
    <col min="11783" max="11783" width="13.42578125" style="1" customWidth="1"/>
    <col min="11784" max="11784" width="54.42578125" style="1" customWidth="1"/>
    <col min="11785" max="12034" width="9.140625" style="1"/>
    <col min="12035" max="12035" width="10.7109375" style="1" customWidth="1"/>
    <col min="12036" max="12036" width="10.5703125" style="1" customWidth="1"/>
    <col min="12037" max="12037" width="10.28515625" style="1" customWidth="1"/>
    <col min="12038" max="12038" width="13.28515625" style="1" customWidth="1"/>
    <col min="12039" max="12039" width="13.42578125" style="1" customWidth="1"/>
    <col min="12040" max="12040" width="54.42578125" style="1" customWidth="1"/>
    <col min="12041" max="12290" width="9.140625" style="1"/>
    <col min="12291" max="12291" width="10.7109375" style="1" customWidth="1"/>
    <col min="12292" max="12292" width="10.5703125" style="1" customWidth="1"/>
    <col min="12293" max="12293" width="10.28515625" style="1" customWidth="1"/>
    <col min="12294" max="12294" width="13.28515625" style="1" customWidth="1"/>
    <col min="12295" max="12295" width="13.42578125" style="1" customWidth="1"/>
    <col min="12296" max="12296" width="54.42578125" style="1" customWidth="1"/>
    <col min="12297" max="12546" width="9.140625" style="1"/>
    <col min="12547" max="12547" width="10.7109375" style="1" customWidth="1"/>
    <col min="12548" max="12548" width="10.5703125" style="1" customWidth="1"/>
    <col min="12549" max="12549" width="10.28515625" style="1" customWidth="1"/>
    <col min="12550" max="12550" width="13.28515625" style="1" customWidth="1"/>
    <col min="12551" max="12551" width="13.42578125" style="1" customWidth="1"/>
    <col min="12552" max="12552" width="54.42578125" style="1" customWidth="1"/>
    <col min="12553" max="12802" width="9.140625" style="1"/>
    <col min="12803" max="12803" width="10.7109375" style="1" customWidth="1"/>
    <col min="12804" max="12804" width="10.5703125" style="1" customWidth="1"/>
    <col min="12805" max="12805" width="10.28515625" style="1" customWidth="1"/>
    <col min="12806" max="12806" width="13.28515625" style="1" customWidth="1"/>
    <col min="12807" max="12807" width="13.42578125" style="1" customWidth="1"/>
    <col min="12808" max="12808" width="54.42578125" style="1" customWidth="1"/>
    <col min="12809" max="13058" width="9.140625" style="1"/>
    <col min="13059" max="13059" width="10.7109375" style="1" customWidth="1"/>
    <col min="13060" max="13060" width="10.5703125" style="1" customWidth="1"/>
    <col min="13061" max="13061" width="10.28515625" style="1" customWidth="1"/>
    <col min="13062" max="13062" width="13.28515625" style="1" customWidth="1"/>
    <col min="13063" max="13063" width="13.42578125" style="1" customWidth="1"/>
    <col min="13064" max="13064" width="54.42578125" style="1" customWidth="1"/>
    <col min="13065" max="13314" width="9.140625" style="1"/>
    <col min="13315" max="13315" width="10.7109375" style="1" customWidth="1"/>
    <col min="13316" max="13316" width="10.5703125" style="1" customWidth="1"/>
    <col min="13317" max="13317" width="10.28515625" style="1" customWidth="1"/>
    <col min="13318" max="13318" width="13.28515625" style="1" customWidth="1"/>
    <col min="13319" max="13319" width="13.42578125" style="1" customWidth="1"/>
    <col min="13320" max="13320" width="54.42578125" style="1" customWidth="1"/>
    <col min="13321" max="13570" width="9.140625" style="1"/>
    <col min="13571" max="13571" width="10.7109375" style="1" customWidth="1"/>
    <col min="13572" max="13572" width="10.5703125" style="1" customWidth="1"/>
    <col min="13573" max="13573" width="10.28515625" style="1" customWidth="1"/>
    <col min="13574" max="13574" width="13.28515625" style="1" customWidth="1"/>
    <col min="13575" max="13575" width="13.42578125" style="1" customWidth="1"/>
    <col min="13576" max="13576" width="54.42578125" style="1" customWidth="1"/>
    <col min="13577" max="13826" width="9.140625" style="1"/>
    <col min="13827" max="13827" width="10.7109375" style="1" customWidth="1"/>
    <col min="13828" max="13828" width="10.5703125" style="1" customWidth="1"/>
    <col min="13829" max="13829" width="10.28515625" style="1" customWidth="1"/>
    <col min="13830" max="13830" width="13.28515625" style="1" customWidth="1"/>
    <col min="13831" max="13831" width="13.42578125" style="1" customWidth="1"/>
    <col min="13832" max="13832" width="54.42578125" style="1" customWidth="1"/>
    <col min="13833" max="14082" width="9.140625" style="1"/>
    <col min="14083" max="14083" width="10.7109375" style="1" customWidth="1"/>
    <col min="14084" max="14084" width="10.5703125" style="1" customWidth="1"/>
    <col min="14085" max="14085" width="10.28515625" style="1" customWidth="1"/>
    <col min="14086" max="14086" width="13.28515625" style="1" customWidth="1"/>
    <col min="14087" max="14087" width="13.42578125" style="1" customWidth="1"/>
    <col min="14088" max="14088" width="54.42578125" style="1" customWidth="1"/>
    <col min="14089" max="14338" width="9.140625" style="1"/>
    <col min="14339" max="14339" width="10.7109375" style="1" customWidth="1"/>
    <col min="14340" max="14340" width="10.5703125" style="1" customWidth="1"/>
    <col min="14341" max="14341" width="10.28515625" style="1" customWidth="1"/>
    <col min="14342" max="14342" width="13.28515625" style="1" customWidth="1"/>
    <col min="14343" max="14343" width="13.42578125" style="1" customWidth="1"/>
    <col min="14344" max="14344" width="54.42578125" style="1" customWidth="1"/>
    <col min="14345" max="14594" width="9.140625" style="1"/>
    <col min="14595" max="14595" width="10.7109375" style="1" customWidth="1"/>
    <col min="14596" max="14596" width="10.5703125" style="1" customWidth="1"/>
    <col min="14597" max="14597" width="10.28515625" style="1" customWidth="1"/>
    <col min="14598" max="14598" width="13.28515625" style="1" customWidth="1"/>
    <col min="14599" max="14599" width="13.42578125" style="1" customWidth="1"/>
    <col min="14600" max="14600" width="54.42578125" style="1" customWidth="1"/>
    <col min="14601" max="14850" width="9.140625" style="1"/>
    <col min="14851" max="14851" width="10.7109375" style="1" customWidth="1"/>
    <col min="14852" max="14852" width="10.5703125" style="1" customWidth="1"/>
    <col min="14853" max="14853" width="10.28515625" style="1" customWidth="1"/>
    <col min="14854" max="14854" width="13.28515625" style="1" customWidth="1"/>
    <col min="14855" max="14855" width="13.42578125" style="1" customWidth="1"/>
    <col min="14856" max="14856" width="54.42578125" style="1" customWidth="1"/>
    <col min="14857" max="15106" width="9.140625" style="1"/>
    <col min="15107" max="15107" width="10.7109375" style="1" customWidth="1"/>
    <col min="15108" max="15108" width="10.5703125" style="1" customWidth="1"/>
    <col min="15109" max="15109" width="10.28515625" style="1" customWidth="1"/>
    <col min="15110" max="15110" width="13.28515625" style="1" customWidth="1"/>
    <col min="15111" max="15111" width="13.42578125" style="1" customWidth="1"/>
    <col min="15112" max="15112" width="54.42578125" style="1" customWidth="1"/>
    <col min="15113" max="15362" width="9.140625" style="1"/>
    <col min="15363" max="15363" width="10.7109375" style="1" customWidth="1"/>
    <col min="15364" max="15364" width="10.5703125" style="1" customWidth="1"/>
    <col min="15365" max="15365" width="10.28515625" style="1" customWidth="1"/>
    <col min="15366" max="15366" width="13.28515625" style="1" customWidth="1"/>
    <col min="15367" max="15367" width="13.42578125" style="1" customWidth="1"/>
    <col min="15368" max="15368" width="54.42578125" style="1" customWidth="1"/>
    <col min="15369" max="15618" width="9.140625" style="1"/>
    <col min="15619" max="15619" width="10.7109375" style="1" customWidth="1"/>
    <col min="15620" max="15620" width="10.5703125" style="1" customWidth="1"/>
    <col min="15621" max="15621" width="10.28515625" style="1" customWidth="1"/>
    <col min="15622" max="15622" width="13.28515625" style="1" customWidth="1"/>
    <col min="15623" max="15623" width="13.42578125" style="1" customWidth="1"/>
    <col min="15624" max="15624" width="54.42578125" style="1" customWidth="1"/>
    <col min="15625" max="15874" width="9.140625" style="1"/>
    <col min="15875" max="15875" width="10.7109375" style="1" customWidth="1"/>
    <col min="15876" max="15876" width="10.5703125" style="1" customWidth="1"/>
    <col min="15877" max="15877" width="10.28515625" style="1" customWidth="1"/>
    <col min="15878" max="15878" width="13.28515625" style="1" customWidth="1"/>
    <col min="15879" max="15879" width="13.42578125" style="1" customWidth="1"/>
    <col min="15880" max="15880" width="54.42578125" style="1" customWidth="1"/>
    <col min="15881" max="16130" width="9.140625" style="1"/>
    <col min="16131" max="16131" width="10.7109375" style="1" customWidth="1"/>
    <col min="16132" max="16132" width="10.5703125" style="1" customWidth="1"/>
    <col min="16133" max="16133" width="10.28515625" style="1" customWidth="1"/>
    <col min="16134" max="16134" width="13.28515625" style="1" customWidth="1"/>
    <col min="16135" max="16135" width="13.42578125" style="1" customWidth="1"/>
    <col min="16136" max="16136" width="54.42578125" style="1" customWidth="1"/>
    <col min="16137" max="16384" width="9.140625" style="1"/>
  </cols>
  <sheetData>
    <row r="1" spans="1:8" ht="51" customHeight="1">
      <c r="A1" s="3285"/>
      <c r="B1" s="3285"/>
      <c r="C1" s="3285"/>
      <c r="D1" s="3285"/>
      <c r="E1" s="3286"/>
      <c r="F1" s="3198" t="s">
        <v>1280</v>
      </c>
      <c r="G1" s="3198"/>
      <c r="H1" s="3198"/>
    </row>
    <row r="2" spans="1:8" ht="45.75" customHeight="1">
      <c r="A2" s="3250" t="s">
        <v>60</v>
      </c>
      <c r="B2" s="3250"/>
      <c r="C2" s="3250"/>
      <c r="D2" s="3250"/>
      <c r="E2" s="3250"/>
      <c r="F2" s="3250"/>
      <c r="G2" s="3250"/>
      <c r="H2" s="3250"/>
    </row>
    <row r="3" spans="1:8" ht="13.5" thickBot="1">
      <c r="A3" s="34"/>
      <c r="B3" s="34"/>
      <c r="C3" s="34"/>
      <c r="D3" s="34"/>
      <c r="E3" s="34"/>
      <c r="F3" s="29"/>
      <c r="G3" s="29"/>
      <c r="H3" s="33" t="s">
        <v>58</v>
      </c>
    </row>
    <row r="4" spans="1:8" ht="15.75" thickBot="1">
      <c r="A4" s="3277" t="s">
        <v>0</v>
      </c>
      <c r="B4" s="3277" t="s">
        <v>1</v>
      </c>
      <c r="C4" s="3277" t="s">
        <v>64</v>
      </c>
      <c r="D4" s="3277" t="s">
        <v>5</v>
      </c>
      <c r="E4" s="3279" t="s">
        <v>171</v>
      </c>
      <c r="F4" s="3254" t="s">
        <v>182</v>
      </c>
      <c r="G4" s="3253"/>
      <c r="H4" s="3277" t="s">
        <v>62</v>
      </c>
    </row>
    <row r="5" spans="1:8" ht="15.75" thickBot="1">
      <c r="A5" s="3278"/>
      <c r="B5" s="3278"/>
      <c r="C5" s="3278"/>
      <c r="D5" s="3278"/>
      <c r="E5" s="3280"/>
      <c r="F5" s="240" t="s">
        <v>20</v>
      </c>
      <c r="G5" s="240" t="s">
        <v>19</v>
      </c>
      <c r="H5" s="3278"/>
    </row>
    <row r="6" spans="1:8" ht="83.25" customHeight="1" thickBot="1">
      <c r="A6" s="38" t="s">
        <v>7</v>
      </c>
      <c r="B6" s="38" t="s">
        <v>8</v>
      </c>
      <c r="C6" s="309" t="s">
        <v>181</v>
      </c>
      <c r="D6" s="37" t="s">
        <v>9</v>
      </c>
      <c r="E6" s="36">
        <f>SUM(F6:G6)</f>
        <v>55000000</v>
      </c>
      <c r="F6" s="36">
        <v>55000000</v>
      </c>
      <c r="G6" s="36">
        <v>0</v>
      </c>
      <c r="H6" s="35" t="s">
        <v>183</v>
      </c>
    </row>
    <row r="7" spans="1:8" ht="36.75" customHeight="1" thickBot="1">
      <c r="A7" s="3287" t="s">
        <v>59</v>
      </c>
      <c r="B7" s="3287"/>
      <c r="C7" s="242"/>
      <c r="D7" s="32"/>
      <c r="E7" s="30">
        <f>SUM(E6:E6)</f>
        <v>55000000</v>
      </c>
      <c r="F7" s="30">
        <f>SUM(F6:F6)</f>
        <v>55000000</v>
      </c>
      <c r="G7" s="30">
        <f>SUM(G6)</f>
        <v>0</v>
      </c>
      <c r="H7" s="31"/>
    </row>
    <row r="24" spans="6:7">
      <c r="F24" s="100"/>
      <c r="G24" s="100"/>
    </row>
  </sheetData>
  <mergeCells count="11">
    <mergeCell ref="A1:E1"/>
    <mergeCell ref="F1:H1"/>
    <mergeCell ref="A2:H2"/>
    <mergeCell ref="A7:B7"/>
    <mergeCell ref="F4:G4"/>
    <mergeCell ref="E4:E5"/>
    <mergeCell ref="D4:D5"/>
    <mergeCell ref="C4:C5"/>
    <mergeCell ref="B4:B5"/>
    <mergeCell ref="A4:A5"/>
    <mergeCell ref="H4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I27"/>
  <sheetViews>
    <sheetView view="pageBreakPreview" zoomScaleNormal="100" zoomScaleSheetLayoutView="100" workbookViewId="0">
      <selection activeCell="K2" sqref="K2"/>
    </sheetView>
  </sheetViews>
  <sheetFormatPr defaultRowHeight="12.75"/>
  <cols>
    <col min="1" max="1" width="7" style="1" customWidth="1"/>
    <col min="2" max="2" width="10.28515625" style="1" customWidth="1"/>
    <col min="3" max="3" width="24" style="1" customWidth="1"/>
    <col min="4" max="4" width="11" style="1" customWidth="1"/>
    <col min="5" max="5" width="13.42578125" style="1" customWidth="1"/>
    <col min="6" max="7" width="15.7109375" style="1" customWidth="1"/>
    <col min="8" max="8" width="16" style="1" customWidth="1"/>
    <col min="9" max="9" width="61.28515625" style="1" customWidth="1"/>
    <col min="10" max="257" width="9.140625" style="1"/>
    <col min="258" max="258" width="7" style="1" customWidth="1"/>
    <col min="259" max="259" width="10.7109375" style="1" customWidth="1"/>
    <col min="260" max="260" width="15.7109375" style="1" customWidth="1"/>
    <col min="261" max="262" width="13.42578125" style="1" customWidth="1"/>
    <col min="263" max="263" width="17.85546875" style="1" customWidth="1"/>
    <col min="264" max="264" width="16" style="1" customWidth="1"/>
    <col min="265" max="265" width="43.42578125" style="1" customWidth="1"/>
    <col min="266" max="513" width="9.140625" style="1"/>
    <col min="514" max="514" width="7" style="1" customWidth="1"/>
    <col min="515" max="515" width="10.7109375" style="1" customWidth="1"/>
    <col min="516" max="516" width="15.7109375" style="1" customWidth="1"/>
    <col min="517" max="518" width="13.42578125" style="1" customWidth="1"/>
    <col min="519" max="519" width="17.85546875" style="1" customWidth="1"/>
    <col min="520" max="520" width="16" style="1" customWidth="1"/>
    <col min="521" max="521" width="43.42578125" style="1" customWidth="1"/>
    <col min="522" max="769" width="9.140625" style="1"/>
    <col min="770" max="770" width="7" style="1" customWidth="1"/>
    <col min="771" max="771" width="10.7109375" style="1" customWidth="1"/>
    <col min="772" max="772" width="15.7109375" style="1" customWidth="1"/>
    <col min="773" max="774" width="13.42578125" style="1" customWidth="1"/>
    <col min="775" max="775" width="17.85546875" style="1" customWidth="1"/>
    <col min="776" max="776" width="16" style="1" customWidth="1"/>
    <col min="777" max="777" width="43.42578125" style="1" customWidth="1"/>
    <col min="778" max="1025" width="9.140625" style="1"/>
    <col min="1026" max="1026" width="7" style="1" customWidth="1"/>
    <col min="1027" max="1027" width="10.7109375" style="1" customWidth="1"/>
    <col min="1028" max="1028" width="15.7109375" style="1" customWidth="1"/>
    <col min="1029" max="1030" width="13.42578125" style="1" customWidth="1"/>
    <col min="1031" max="1031" width="17.85546875" style="1" customWidth="1"/>
    <col min="1032" max="1032" width="16" style="1" customWidth="1"/>
    <col min="1033" max="1033" width="43.42578125" style="1" customWidth="1"/>
    <col min="1034" max="1281" width="9.140625" style="1"/>
    <col min="1282" max="1282" width="7" style="1" customWidth="1"/>
    <col min="1283" max="1283" width="10.7109375" style="1" customWidth="1"/>
    <col min="1284" max="1284" width="15.7109375" style="1" customWidth="1"/>
    <col min="1285" max="1286" width="13.42578125" style="1" customWidth="1"/>
    <col min="1287" max="1287" width="17.85546875" style="1" customWidth="1"/>
    <col min="1288" max="1288" width="16" style="1" customWidth="1"/>
    <col min="1289" max="1289" width="43.42578125" style="1" customWidth="1"/>
    <col min="1290" max="1537" width="9.140625" style="1"/>
    <col min="1538" max="1538" width="7" style="1" customWidth="1"/>
    <col min="1539" max="1539" width="10.7109375" style="1" customWidth="1"/>
    <col min="1540" max="1540" width="15.7109375" style="1" customWidth="1"/>
    <col min="1541" max="1542" width="13.42578125" style="1" customWidth="1"/>
    <col min="1543" max="1543" width="17.85546875" style="1" customWidth="1"/>
    <col min="1544" max="1544" width="16" style="1" customWidth="1"/>
    <col min="1545" max="1545" width="43.42578125" style="1" customWidth="1"/>
    <col min="1546" max="1793" width="9.140625" style="1"/>
    <col min="1794" max="1794" width="7" style="1" customWidth="1"/>
    <col min="1795" max="1795" width="10.7109375" style="1" customWidth="1"/>
    <col min="1796" max="1796" width="15.7109375" style="1" customWidth="1"/>
    <col min="1797" max="1798" width="13.42578125" style="1" customWidth="1"/>
    <col min="1799" max="1799" width="17.85546875" style="1" customWidth="1"/>
    <col min="1800" max="1800" width="16" style="1" customWidth="1"/>
    <col min="1801" max="1801" width="43.42578125" style="1" customWidth="1"/>
    <col min="1802" max="2049" width="9.140625" style="1"/>
    <col min="2050" max="2050" width="7" style="1" customWidth="1"/>
    <col min="2051" max="2051" width="10.7109375" style="1" customWidth="1"/>
    <col min="2052" max="2052" width="15.7109375" style="1" customWidth="1"/>
    <col min="2053" max="2054" width="13.42578125" style="1" customWidth="1"/>
    <col min="2055" max="2055" width="17.85546875" style="1" customWidth="1"/>
    <col min="2056" max="2056" width="16" style="1" customWidth="1"/>
    <col min="2057" max="2057" width="43.42578125" style="1" customWidth="1"/>
    <col min="2058" max="2305" width="9.140625" style="1"/>
    <col min="2306" max="2306" width="7" style="1" customWidth="1"/>
    <col min="2307" max="2307" width="10.7109375" style="1" customWidth="1"/>
    <col min="2308" max="2308" width="15.7109375" style="1" customWidth="1"/>
    <col min="2309" max="2310" width="13.42578125" style="1" customWidth="1"/>
    <col min="2311" max="2311" width="17.85546875" style="1" customWidth="1"/>
    <col min="2312" max="2312" width="16" style="1" customWidth="1"/>
    <col min="2313" max="2313" width="43.42578125" style="1" customWidth="1"/>
    <col min="2314" max="2561" width="9.140625" style="1"/>
    <col min="2562" max="2562" width="7" style="1" customWidth="1"/>
    <col min="2563" max="2563" width="10.7109375" style="1" customWidth="1"/>
    <col min="2564" max="2564" width="15.7109375" style="1" customWidth="1"/>
    <col min="2565" max="2566" width="13.42578125" style="1" customWidth="1"/>
    <col min="2567" max="2567" width="17.85546875" style="1" customWidth="1"/>
    <col min="2568" max="2568" width="16" style="1" customWidth="1"/>
    <col min="2569" max="2569" width="43.42578125" style="1" customWidth="1"/>
    <col min="2570" max="2817" width="9.140625" style="1"/>
    <col min="2818" max="2818" width="7" style="1" customWidth="1"/>
    <col min="2819" max="2819" width="10.7109375" style="1" customWidth="1"/>
    <col min="2820" max="2820" width="15.7109375" style="1" customWidth="1"/>
    <col min="2821" max="2822" width="13.42578125" style="1" customWidth="1"/>
    <col min="2823" max="2823" width="17.85546875" style="1" customWidth="1"/>
    <col min="2824" max="2824" width="16" style="1" customWidth="1"/>
    <col min="2825" max="2825" width="43.42578125" style="1" customWidth="1"/>
    <col min="2826" max="3073" width="9.140625" style="1"/>
    <col min="3074" max="3074" width="7" style="1" customWidth="1"/>
    <col min="3075" max="3075" width="10.7109375" style="1" customWidth="1"/>
    <col min="3076" max="3076" width="15.7109375" style="1" customWidth="1"/>
    <col min="3077" max="3078" width="13.42578125" style="1" customWidth="1"/>
    <col min="3079" max="3079" width="17.85546875" style="1" customWidth="1"/>
    <col min="3080" max="3080" width="16" style="1" customWidth="1"/>
    <col min="3081" max="3081" width="43.42578125" style="1" customWidth="1"/>
    <col min="3082" max="3329" width="9.140625" style="1"/>
    <col min="3330" max="3330" width="7" style="1" customWidth="1"/>
    <col min="3331" max="3331" width="10.7109375" style="1" customWidth="1"/>
    <col min="3332" max="3332" width="15.7109375" style="1" customWidth="1"/>
    <col min="3333" max="3334" width="13.42578125" style="1" customWidth="1"/>
    <col min="3335" max="3335" width="17.85546875" style="1" customWidth="1"/>
    <col min="3336" max="3336" width="16" style="1" customWidth="1"/>
    <col min="3337" max="3337" width="43.42578125" style="1" customWidth="1"/>
    <col min="3338" max="3585" width="9.140625" style="1"/>
    <col min="3586" max="3586" width="7" style="1" customWidth="1"/>
    <col min="3587" max="3587" width="10.7109375" style="1" customWidth="1"/>
    <col min="3588" max="3588" width="15.7109375" style="1" customWidth="1"/>
    <col min="3589" max="3590" width="13.42578125" style="1" customWidth="1"/>
    <col min="3591" max="3591" width="17.85546875" style="1" customWidth="1"/>
    <col min="3592" max="3592" width="16" style="1" customWidth="1"/>
    <col min="3593" max="3593" width="43.42578125" style="1" customWidth="1"/>
    <col min="3594" max="3841" width="9.140625" style="1"/>
    <col min="3842" max="3842" width="7" style="1" customWidth="1"/>
    <col min="3843" max="3843" width="10.7109375" style="1" customWidth="1"/>
    <col min="3844" max="3844" width="15.7109375" style="1" customWidth="1"/>
    <col min="3845" max="3846" width="13.42578125" style="1" customWidth="1"/>
    <col min="3847" max="3847" width="17.85546875" style="1" customWidth="1"/>
    <col min="3848" max="3848" width="16" style="1" customWidth="1"/>
    <col min="3849" max="3849" width="43.42578125" style="1" customWidth="1"/>
    <col min="3850" max="4097" width="9.140625" style="1"/>
    <col min="4098" max="4098" width="7" style="1" customWidth="1"/>
    <col min="4099" max="4099" width="10.7109375" style="1" customWidth="1"/>
    <col min="4100" max="4100" width="15.7109375" style="1" customWidth="1"/>
    <col min="4101" max="4102" width="13.42578125" style="1" customWidth="1"/>
    <col min="4103" max="4103" width="17.85546875" style="1" customWidth="1"/>
    <col min="4104" max="4104" width="16" style="1" customWidth="1"/>
    <col min="4105" max="4105" width="43.42578125" style="1" customWidth="1"/>
    <col min="4106" max="4353" width="9.140625" style="1"/>
    <col min="4354" max="4354" width="7" style="1" customWidth="1"/>
    <col min="4355" max="4355" width="10.7109375" style="1" customWidth="1"/>
    <col min="4356" max="4356" width="15.7109375" style="1" customWidth="1"/>
    <col min="4357" max="4358" width="13.42578125" style="1" customWidth="1"/>
    <col min="4359" max="4359" width="17.85546875" style="1" customWidth="1"/>
    <col min="4360" max="4360" width="16" style="1" customWidth="1"/>
    <col min="4361" max="4361" width="43.42578125" style="1" customWidth="1"/>
    <col min="4362" max="4609" width="9.140625" style="1"/>
    <col min="4610" max="4610" width="7" style="1" customWidth="1"/>
    <col min="4611" max="4611" width="10.7109375" style="1" customWidth="1"/>
    <col min="4612" max="4612" width="15.7109375" style="1" customWidth="1"/>
    <col min="4613" max="4614" width="13.42578125" style="1" customWidth="1"/>
    <col min="4615" max="4615" width="17.85546875" style="1" customWidth="1"/>
    <col min="4616" max="4616" width="16" style="1" customWidth="1"/>
    <col min="4617" max="4617" width="43.42578125" style="1" customWidth="1"/>
    <col min="4618" max="4865" width="9.140625" style="1"/>
    <col min="4866" max="4866" width="7" style="1" customWidth="1"/>
    <col min="4867" max="4867" width="10.7109375" style="1" customWidth="1"/>
    <col min="4868" max="4868" width="15.7109375" style="1" customWidth="1"/>
    <col min="4869" max="4870" width="13.42578125" style="1" customWidth="1"/>
    <col min="4871" max="4871" width="17.85546875" style="1" customWidth="1"/>
    <col min="4872" max="4872" width="16" style="1" customWidth="1"/>
    <col min="4873" max="4873" width="43.42578125" style="1" customWidth="1"/>
    <col min="4874" max="5121" width="9.140625" style="1"/>
    <col min="5122" max="5122" width="7" style="1" customWidth="1"/>
    <col min="5123" max="5123" width="10.7109375" style="1" customWidth="1"/>
    <col min="5124" max="5124" width="15.7109375" style="1" customWidth="1"/>
    <col min="5125" max="5126" width="13.42578125" style="1" customWidth="1"/>
    <col min="5127" max="5127" width="17.85546875" style="1" customWidth="1"/>
    <col min="5128" max="5128" width="16" style="1" customWidth="1"/>
    <col min="5129" max="5129" width="43.42578125" style="1" customWidth="1"/>
    <col min="5130" max="5377" width="9.140625" style="1"/>
    <col min="5378" max="5378" width="7" style="1" customWidth="1"/>
    <col min="5379" max="5379" width="10.7109375" style="1" customWidth="1"/>
    <col min="5380" max="5380" width="15.7109375" style="1" customWidth="1"/>
    <col min="5381" max="5382" width="13.42578125" style="1" customWidth="1"/>
    <col min="5383" max="5383" width="17.85546875" style="1" customWidth="1"/>
    <col min="5384" max="5384" width="16" style="1" customWidth="1"/>
    <col min="5385" max="5385" width="43.42578125" style="1" customWidth="1"/>
    <col min="5386" max="5633" width="9.140625" style="1"/>
    <col min="5634" max="5634" width="7" style="1" customWidth="1"/>
    <col min="5635" max="5635" width="10.7109375" style="1" customWidth="1"/>
    <col min="5636" max="5636" width="15.7109375" style="1" customWidth="1"/>
    <col min="5637" max="5638" width="13.42578125" style="1" customWidth="1"/>
    <col min="5639" max="5639" width="17.85546875" style="1" customWidth="1"/>
    <col min="5640" max="5640" width="16" style="1" customWidth="1"/>
    <col min="5641" max="5641" width="43.42578125" style="1" customWidth="1"/>
    <col min="5642" max="5889" width="9.140625" style="1"/>
    <col min="5890" max="5890" width="7" style="1" customWidth="1"/>
    <col min="5891" max="5891" width="10.7109375" style="1" customWidth="1"/>
    <col min="5892" max="5892" width="15.7109375" style="1" customWidth="1"/>
    <col min="5893" max="5894" width="13.42578125" style="1" customWidth="1"/>
    <col min="5895" max="5895" width="17.85546875" style="1" customWidth="1"/>
    <col min="5896" max="5896" width="16" style="1" customWidth="1"/>
    <col min="5897" max="5897" width="43.42578125" style="1" customWidth="1"/>
    <col min="5898" max="6145" width="9.140625" style="1"/>
    <col min="6146" max="6146" width="7" style="1" customWidth="1"/>
    <col min="6147" max="6147" width="10.7109375" style="1" customWidth="1"/>
    <col min="6148" max="6148" width="15.7109375" style="1" customWidth="1"/>
    <col min="6149" max="6150" width="13.42578125" style="1" customWidth="1"/>
    <col min="6151" max="6151" width="17.85546875" style="1" customWidth="1"/>
    <col min="6152" max="6152" width="16" style="1" customWidth="1"/>
    <col min="6153" max="6153" width="43.42578125" style="1" customWidth="1"/>
    <col min="6154" max="6401" width="9.140625" style="1"/>
    <col min="6402" max="6402" width="7" style="1" customWidth="1"/>
    <col min="6403" max="6403" width="10.7109375" style="1" customWidth="1"/>
    <col min="6404" max="6404" width="15.7109375" style="1" customWidth="1"/>
    <col min="6405" max="6406" width="13.42578125" style="1" customWidth="1"/>
    <col min="6407" max="6407" width="17.85546875" style="1" customWidth="1"/>
    <col min="6408" max="6408" width="16" style="1" customWidth="1"/>
    <col min="6409" max="6409" width="43.42578125" style="1" customWidth="1"/>
    <col min="6410" max="6657" width="9.140625" style="1"/>
    <col min="6658" max="6658" width="7" style="1" customWidth="1"/>
    <col min="6659" max="6659" width="10.7109375" style="1" customWidth="1"/>
    <col min="6660" max="6660" width="15.7109375" style="1" customWidth="1"/>
    <col min="6661" max="6662" width="13.42578125" style="1" customWidth="1"/>
    <col min="6663" max="6663" width="17.85546875" style="1" customWidth="1"/>
    <col min="6664" max="6664" width="16" style="1" customWidth="1"/>
    <col min="6665" max="6665" width="43.42578125" style="1" customWidth="1"/>
    <col min="6666" max="6913" width="9.140625" style="1"/>
    <col min="6914" max="6914" width="7" style="1" customWidth="1"/>
    <col min="6915" max="6915" width="10.7109375" style="1" customWidth="1"/>
    <col min="6916" max="6916" width="15.7109375" style="1" customWidth="1"/>
    <col min="6917" max="6918" width="13.42578125" style="1" customWidth="1"/>
    <col min="6919" max="6919" width="17.85546875" style="1" customWidth="1"/>
    <col min="6920" max="6920" width="16" style="1" customWidth="1"/>
    <col min="6921" max="6921" width="43.42578125" style="1" customWidth="1"/>
    <col min="6922" max="7169" width="9.140625" style="1"/>
    <col min="7170" max="7170" width="7" style="1" customWidth="1"/>
    <col min="7171" max="7171" width="10.7109375" style="1" customWidth="1"/>
    <col min="7172" max="7172" width="15.7109375" style="1" customWidth="1"/>
    <col min="7173" max="7174" width="13.42578125" style="1" customWidth="1"/>
    <col min="7175" max="7175" width="17.85546875" style="1" customWidth="1"/>
    <col min="7176" max="7176" width="16" style="1" customWidth="1"/>
    <col min="7177" max="7177" width="43.42578125" style="1" customWidth="1"/>
    <col min="7178" max="7425" width="9.140625" style="1"/>
    <col min="7426" max="7426" width="7" style="1" customWidth="1"/>
    <col min="7427" max="7427" width="10.7109375" style="1" customWidth="1"/>
    <col min="7428" max="7428" width="15.7109375" style="1" customWidth="1"/>
    <col min="7429" max="7430" width="13.42578125" style="1" customWidth="1"/>
    <col min="7431" max="7431" width="17.85546875" style="1" customWidth="1"/>
    <col min="7432" max="7432" width="16" style="1" customWidth="1"/>
    <col min="7433" max="7433" width="43.42578125" style="1" customWidth="1"/>
    <col min="7434" max="7681" width="9.140625" style="1"/>
    <col min="7682" max="7682" width="7" style="1" customWidth="1"/>
    <col min="7683" max="7683" width="10.7109375" style="1" customWidth="1"/>
    <col min="7684" max="7684" width="15.7109375" style="1" customWidth="1"/>
    <col min="7685" max="7686" width="13.42578125" style="1" customWidth="1"/>
    <col min="7687" max="7687" width="17.85546875" style="1" customWidth="1"/>
    <col min="7688" max="7688" width="16" style="1" customWidth="1"/>
    <col min="7689" max="7689" width="43.42578125" style="1" customWidth="1"/>
    <col min="7690" max="7937" width="9.140625" style="1"/>
    <col min="7938" max="7938" width="7" style="1" customWidth="1"/>
    <col min="7939" max="7939" width="10.7109375" style="1" customWidth="1"/>
    <col min="7940" max="7940" width="15.7109375" style="1" customWidth="1"/>
    <col min="7941" max="7942" width="13.42578125" style="1" customWidth="1"/>
    <col min="7943" max="7943" width="17.85546875" style="1" customWidth="1"/>
    <col min="7944" max="7944" width="16" style="1" customWidth="1"/>
    <col min="7945" max="7945" width="43.42578125" style="1" customWidth="1"/>
    <col min="7946" max="8193" width="9.140625" style="1"/>
    <col min="8194" max="8194" width="7" style="1" customWidth="1"/>
    <col min="8195" max="8195" width="10.7109375" style="1" customWidth="1"/>
    <col min="8196" max="8196" width="15.7109375" style="1" customWidth="1"/>
    <col min="8197" max="8198" width="13.42578125" style="1" customWidth="1"/>
    <col min="8199" max="8199" width="17.85546875" style="1" customWidth="1"/>
    <col min="8200" max="8200" width="16" style="1" customWidth="1"/>
    <col min="8201" max="8201" width="43.42578125" style="1" customWidth="1"/>
    <col min="8202" max="8449" width="9.140625" style="1"/>
    <col min="8450" max="8450" width="7" style="1" customWidth="1"/>
    <col min="8451" max="8451" width="10.7109375" style="1" customWidth="1"/>
    <col min="8452" max="8452" width="15.7109375" style="1" customWidth="1"/>
    <col min="8453" max="8454" width="13.42578125" style="1" customWidth="1"/>
    <col min="8455" max="8455" width="17.85546875" style="1" customWidth="1"/>
    <col min="8456" max="8456" width="16" style="1" customWidth="1"/>
    <col min="8457" max="8457" width="43.42578125" style="1" customWidth="1"/>
    <col min="8458" max="8705" width="9.140625" style="1"/>
    <col min="8706" max="8706" width="7" style="1" customWidth="1"/>
    <col min="8707" max="8707" width="10.7109375" style="1" customWidth="1"/>
    <col min="8708" max="8708" width="15.7109375" style="1" customWidth="1"/>
    <col min="8709" max="8710" width="13.42578125" style="1" customWidth="1"/>
    <col min="8711" max="8711" width="17.85546875" style="1" customWidth="1"/>
    <col min="8712" max="8712" width="16" style="1" customWidth="1"/>
    <col min="8713" max="8713" width="43.42578125" style="1" customWidth="1"/>
    <col min="8714" max="8961" width="9.140625" style="1"/>
    <col min="8962" max="8962" width="7" style="1" customWidth="1"/>
    <col min="8963" max="8963" width="10.7109375" style="1" customWidth="1"/>
    <col min="8964" max="8964" width="15.7109375" style="1" customWidth="1"/>
    <col min="8965" max="8966" width="13.42578125" style="1" customWidth="1"/>
    <col min="8967" max="8967" width="17.85546875" style="1" customWidth="1"/>
    <col min="8968" max="8968" width="16" style="1" customWidth="1"/>
    <col min="8969" max="8969" width="43.42578125" style="1" customWidth="1"/>
    <col min="8970" max="9217" width="9.140625" style="1"/>
    <col min="9218" max="9218" width="7" style="1" customWidth="1"/>
    <col min="9219" max="9219" width="10.7109375" style="1" customWidth="1"/>
    <col min="9220" max="9220" width="15.7109375" style="1" customWidth="1"/>
    <col min="9221" max="9222" width="13.42578125" style="1" customWidth="1"/>
    <col min="9223" max="9223" width="17.85546875" style="1" customWidth="1"/>
    <col min="9224" max="9224" width="16" style="1" customWidth="1"/>
    <col min="9225" max="9225" width="43.42578125" style="1" customWidth="1"/>
    <col min="9226" max="9473" width="9.140625" style="1"/>
    <col min="9474" max="9474" width="7" style="1" customWidth="1"/>
    <col min="9475" max="9475" width="10.7109375" style="1" customWidth="1"/>
    <col min="9476" max="9476" width="15.7109375" style="1" customWidth="1"/>
    <col min="9477" max="9478" width="13.42578125" style="1" customWidth="1"/>
    <col min="9479" max="9479" width="17.85546875" style="1" customWidth="1"/>
    <col min="9480" max="9480" width="16" style="1" customWidth="1"/>
    <col min="9481" max="9481" width="43.42578125" style="1" customWidth="1"/>
    <col min="9482" max="9729" width="9.140625" style="1"/>
    <col min="9730" max="9730" width="7" style="1" customWidth="1"/>
    <col min="9731" max="9731" width="10.7109375" style="1" customWidth="1"/>
    <col min="9732" max="9732" width="15.7109375" style="1" customWidth="1"/>
    <col min="9733" max="9734" width="13.42578125" style="1" customWidth="1"/>
    <col min="9735" max="9735" width="17.85546875" style="1" customWidth="1"/>
    <col min="9736" max="9736" width="16" style="1" customWidth="1"/>
    <col min="9737" max="9737" width="43.42578125" style="1" customWidth="1"/>
    <col min="9738" max="9985" width="9.140625" style="1"/>
    <col min="9986" max="9986" width="7" style="1" customWidth="1"/>
    <col min="9987" max="9987" width="10.7109375" style="1" customWidth="1"/>
    <col min="9988" max="9988" width="15.7109375" style="1" customWidth="1"/>
    <col min="9989" max="9990" width="13.42578125" style="1" customWidth="1"/>
    <col min="9991" max="9991" width="17.85546875" style="1" customWidth="1"/>
    <col min="9992" max="9992" width="16" style="1" customWidth="1"/>
    <col min="9993" max="9993" width="43.42578125" style="1" customWidth="1"/>
    <col min="9994" max="10241" width="9.140625" style="1"/>
    <col min="10242" max="10242" width="7" style="1" customWidth="1"/>
    <col min="10243" max="10243" width="10.7109375" style="1" customWidth="1"/>
    <col min="10244" max="10244" width="15.7109375" style="1" customWidth="1"/>
    <col min="10245" max="10246" width="13.42578125" style="1" customWidth="1"/>
    <col min="10247" max="10247" width="17.85546875" style="1" customWidth="1"/>
    <col min="10248" max="10248" width="16" style="1" customWidth="1"/>
    <col min="10249" max="10249" width="43.42578125" style="1" customWidth="1"/>
    <col min="10250" max="10497" width="9.140625" style="1"/>
    <col min="10498" max="10498" width="7" style="1" customWidth="1"/>
    <col min="10499" max="10499" width="10.7109375" style="1" customWidth="1"/>
    <col min="10500" max="10500" width="15.7109375" style="1" customWidth="1"/>
    <col min="10501" max="10502" width="13.42578125" style="1" customWidth="1"/>
    <col min="10503" max="10503" width="17.85546875" style="1" customWidth="1"/>
    <col min="10504" max="10504" width="16" style="1" customWidth="1"/>
    <col min="10505" max="10505" width="43.42578125" style="1" customWidth="1"/>
    <col min="10506" max="10753" width="9.140625" style="1"/>
    <col min="10754" max="10754" width="7" style="1" customWidth="1"/>
    <col min="10755" max="10755" width="10.7109375" style="1" customWidth="1"/>
    <col min="10756" max="10756" width="15.7109375" style="1" customWidth="1"/>
    <col min="10757" max="10758" width="13.42578125" style="1" customWidth="1"/>
    <col min="10759" max="10759" width="17.85546875" style="1" customWidth="1"/>
    <col min="10760" max="10760" width="16" style="1" customWidth="1"/>
    <col min="10761" max="10761" width="43.42578125" style="1" customWidth="1"/>
    <col min="10762" max="11009" width="9.140625" style="1"/>
    <col min="11010" max="11010" width="7" style="1" customWidth="1"/>
    <col min="11011" max="11011" width="10.7109375" style="1" customWidth="1"/>
    <col min="11012" max="11012" width="15.7109375" style="1" customWidth="1"/>
    <col min="11013" max="11014" width="13.42578125" style="1" customWidth="1"/>
    <col min="11015" max="11015" width="17.85546875" style="1" customWidth="1"/>
    <col min="11016" max="11016" width="16" style="1" customWidth="1"/>
    <col min="11017" max="11017" width="43.42578125" style="1" customWidth="1"/>
    <col min="11018" max="11265" width="9.140625" style="1"/>
    <col min="11266" max="11266" width="7" style="1" customWidth="1"/>
    <col min="11267" max="11267" width="10.7109375" style="1" customWidth="1"/>
    <col min="11268" max="11268" width="15.7109375" style="1" customWidth="1"/>
    <col min="11269" max="11270" width="13.42578125" style="1" customWidth="1"/>
    <col min="11271" max="11271" width="17.85546875" style="1" customWidth="1"/>
    <col min="11272" max="11272" width="16" style="1" customWidth="1"/>
    <col min="11273" max="11273" width="43.42578125" style="1" customWidth="1"/>
    <col min="11274" max="11521" width="9.140625" style="1"/>
    <col min="11522" max="11522" width="7" style="1" customWidth="1"/>
    <col min="11523" max="11523" width="10.7109375" style="1" customWidth="1"/>
    <col min="11524" max="11524" width="15.7109375" style="1" customWidth="1"/>
    <col min="11525" max="11526" width="13.42578125" style="1" customWidth="1"/>
    <col min="11527" max="11527" width="17.85546875" style="1" customWidth="1"/>
    <col min="11528" max="11528" width="16" style="1" customWidth="1"/>
    <col min="11529" max="11529" width="43.42578125" style="1" customWidth="1"/>
    <col min="11530" max="11777" width="9.140625" style="1"/>
    <col min="11778" max="11778" width="7" style="1" customWidth="1"/>
    <col min="11779" max="11779" width="10.7109375" style="1" customWidth="1"/>
    <col min="11780" max="11780" width="15.7109375" style="1" customWidth="1"/>
    <col min="11781" max="11782" width="13.42578125" style="1" customWidth="1"/>
    <col min="11783" max="11783" width="17.85546875" style="1" customWidth="1"/>
    <col min="11784" max="11784" width="16" style="1" customWidth="1"/>
    <col min="11785" max="11785" width="43.42578125" style="1" customWidth="1"/>
    <col min="11786" max="12033" width="9.140625" style="1"/>
    <col min="12034" max="12034" width="7" style="1" customWidth="1"/>
    <col min="12035" max="12035" width="10.7109375" style="1" customWidth="1"/>
    <col min="12036" max="12036" width="15.7109375" style="1" customWidth="1"/>
    <col min="12037" max="12038" width="13.42578125" style="1" customWidth="1"/>
    <col min="12039" max="12039" width="17.85546875" style="1" customWidth="1"/>
    <col min="12040" max="12040" width="16" style="1" customWidth="1"/>
    <col min="12041" max="12041" width="43.42578125" style="1" customWidth="1"/>
    <col min="12042" max="12289" width="9.140625" style="1"/>
    <col min="12290" max="12290" width="7" style="1" customWidth="1"/>
    <col min="12291" max="12291" width="10.7109375" style="1" customWidth="1"/>
    <col min="12292" max="12292" width="15.7109375" style="1" customWidth="1"/>
    <col min="12293" max="12294" width="13.42578125" style="1" customWidth="1"/>
    <col min="12295" max="12295" width="17.85546875" style="1" customWidth="1"/>
    <col min="12296" max="12296" width="16" style="1" customWidth="1"/>
    <col min="12297" max="12297" width="43.42578125" style="1" customWidth="1"/>
    <col min="12298" max="12545" width="9.140625" style="1"/>
    <col min="12546" max="12546" width="7" style="1" customWidth="1"/>
    <col min="12547" max="12547" width="10.7109375" style="1" customWidth="1"/>
    <col min="12548" max="12548" width="15.7109375" style="1" customWidth="1"/>
    <col min="12549" max="12550" width="13.42578125" style="1" customWidth="1"/>
    <col min="12551" max="12551" width="17.85546875" style="1" customWidth="1"/>
    <col min="12552" max="12552" width="16" style="1" customWidth="1"/>
    <col min="12553" max="12553" width="43.42578125" style="1" customWidth="1"/>
    <col min="12554" max="12801" width="9.140625" style="1"/>
    <col min="12802" max="12802" width="7" style="1" customWidth="1"/>
    <col min="12803" max="12803" width="10.7109375" style="1" customWidth="1"/>
    <col min="12804" max="12804" width="15.7109375" style="1" customWidth="1"/>
    <col min="12805" max="12806" width="13.42578125" style="1" customWidth="1"/>
    <col min="12807" max="12807" width="17.85546875" style="1" customWidth="1"/>
    <col min="12808" max="12808" width="16" style="1" customWidth="1"/>
    <col min="12809" max="12809" width="43.42578125" style="1" customWidth="1"/>
    <col min="12810" max="13057" width="9.140625" style="1"/>
    <col min="13058" max="13058" width="7" style="1" customWidth="1"/>
    <col min="13059" max="13059" width="10.7109375" style="1" customWidth="1"/>
    <col min="13060" max="13060" width="15.7109375" style="1" customWidth="1"/>
    <col min="13061" max="13062" width="13.42578125" style="1" customWidth="1"/>
    <col min="13063" max="13063" width="17.85546875" style="1" customWidth="1"/>
    <col min="13064" max="13064" width="16" style="1" customWidth="1"/>
    <col min="13065" max="13065" width="43.42578125" style="1" customWidth="1"/>
    <col min="13066" max="13313" width="9.140625" style="1"/>
    <col min="13314" max="13314" width="7" style="1" customWidth="1"/>
    <col min="13315" max="13315" width="10.7109375" style="1" customWidth="1"/>
    <col min="13316" max="13316" width="15.7109375" style="1" customWidth="1"/>
    <col min="13317" max="13318" width="13.42578125" style="1" customWidth="1"/>
    <col min="13319" max="13319" width="17.85546875" style="1" customWidth="1"/>
    <col min="13320" max="13320" width="16" style="1" customWidth="1"/>
    <col min="13321" max="13321" width="43.42578125" style="1" customWidth="1"/>
    <col min="13322" max="13569" width="9.140625" style="1"/>
    <col min="13570" max="13570" width="7" style="1" customWidth="1"/>
    <col min="13571" max="13571" width="10.7109375" style="1" customWidth="1"/>
    <col min="13572" max="13572" width="15.7109375" style="1" customWidth="1"/>
    <col min="13573" max="13574" width="13.42578125" style="1" customWidth="1"/>
    <col min="13575" max="13575" width="17.85546875" style="1" customWidth="1"/>
    <col min="13576" max="13576" width="16" style="1" customWidth="1"/>
    <col min="13577" max="13577" width="43.42578125" style="1" customWidth="1"/>
    <col min="13578" max="13825" width="9.140625" style="1"/>
    <col min="13826" max="13826" width="7" style="1" customWidth="1"/>
    <col min="13827" max="13827" width="10.7109375" style="1" customWidth="1"/>
    <col min="13828" max="13828" width="15.7109375" style="1" customWidth="1"/>
    <col min="13829" max="13830" width="13.42578125" style="1" customWidth="1"/>
    <col min="13831" max="13831" width="17.85546875" style="1" customWidth="1"/>
    <col min="13832" max="13832" width="16" style="1" customWidth="1"/>
    <col min="13833" max="13833" width="43.42578125" style="1" customWidth="1"/>
    <col min="13834" max="14081" width="9.140625" style="1"/>
    <col min="14082" max="14082" width="7" style="1" customWidth="1"/>
    <col min="14083" max="14083" width="10.7109375" style="1" customWidth="1"/>
    <col min="14084" max="14084" width="15.7109375" style="1" customWidth="1"/>
    <col min="14085" max="14086" width="13.42578125" style="1" customWidth="1"/>
    <col min="14087" max="14087" width="17.85546875" style="1" customWidth="1"/>
    <col min="14088" max="14088" width="16" style="1" customWidth="1"/>
    <col min="14089" max="14089" width="43.42578125" style="1" customWidth="1"/>
    <col min="14090" max="14337" width="9.140625" style="1"/>
    <col min="14338" max="14338" width="7" style="1" customWidth="1"/>
    <col min="14339" max="14339" width="10.7109375" style="1" customWidth="1"/>
    <col min="14340" max="14340" width="15.7109375" style="1" customWidth="1"/>
    <col min="14341" max="14342" width="13.42578125" style="1" customWidth="1"/>
    <col min="14343" max="14343" width="17.85546875" style="1" customWidth="1"/>
    <col min="14344" max="14344" width="16" style="1" customWidth="1"/>
    <col min="14345" max="14345" width="43.42578125" style="1" customWidth="1"/>
    <col min="14346" max="14593" width="9.140625" style="1"/>
    <col min="14594" max="14594" width="7" style="1" customWidth="1"/>
    <col min="14595" max="14595" width="10.7109375" style="1" customWidth="1"/>
    <col min="14596" max="14596" width="15.7109375" style="1" customWidth="1"/>
    <col min="14597" max="14598" width="13.42578125" style="1" customWidth="1"/>
    <col min="14599" max="14599" width="17.85546875" style="1" customWidth="1"/>
    <col min="14600" max="14600" width="16" style="1" customWidth="1"/>
    <col min="14601" max="14601" width="43.42578125" style="1" customWidth="1"/>
    <col min="14602" max="14849" width="9.140625" style="1"/>
    <col min="14850" max="14850" width="7" style="1" customWidth="1"/>
    <col min="14851" max="14851" width="10.7109375" style="1" customWidth="1"/>
    <col min="14852" max="14852" width="15.7109375" style="1" customWidth="1"/>
    <col min="14853" max="14854" width="13.42578125" style="1" customWidth="1"/>
    <col min="14855" max="14855" width="17.85546875" style="1" customWidth="1"/>
    <col min="14856" max="14856" width="16" style="1" customWidth="1"/>
    <col min="14857" max="14857" width="43.42578125" style="1" customWidth="1"/>
    <col min="14858" max="15105" width="9.140625" style="1"/>
    <col min="15106" max="15106" width="7" style="1" customWidth="1"/>
    <col min="15107" max="15107" width="10.7109375" style="1" customWidth="1"/>
    <col min="15108" max="15108" width="15.7109375" style="1" customWidth="1"/>
    <col min="15109" max="15110" width="13.42578125" style="1" customWidth="1"/>
    <col min="15111" max="15111" width="17.85546875" style="1" customWidth="1"/>
    <col min="15112" max="15112" width="16" style="1" customWidth="1"/>
    <col min="15113" max="15113" width="43.42578125" style="1" customWidth="1"/>
    <col min="15114" max="15361" width="9.140625" style="1"/>
    <col min="15362" max="15362" width="7" style="1" customWidth="1"/>
    <col min="15363" max="15363" width="10.7109375" style="1" customWidth="1"/>
    <col min="15364" max="15364" width="15.7109375" style="1" customWidth="1"/>
    <col min="15365" max="15366" width="13.42578125" style="1" customWidth="1"/>
    <col min="15367" max="15367" width="17.85546875" style="1" customWidth="1"/>
    <col min="15368" max="15368" width="16" style="1" customWidth="1"/>
    <col min="15369" max="15369" width="43.42578125" style="1" customWidth="1"/>
    <col min="15370" max="15617" width="9.140625" style="1"/>
    <col min="15618" max="15618" width="7" style="1" customWidth="1"/>
    <col min="15619" max="15619" width="10.7109375" style="1" customWidth="1"/>
    <col min="15620" max="15620" width="15.7109375" style="1" customWidth="1"/>
    <col min="15621" max="15622" width="13.42578125" style="1" customWidth="1"/>
    <col min="15623" max="15623" width="17.85546875" style="1" customWidth="1"/>
    <col min="15624" max="15624" width="16" style="1" customWidth="1"/>
    <col min="15625" max="15625" width="43.42578125" style="1" customWidth="1"/>
    <col min="15626" max="15873" width="9.140625" style="1"/>
    <col min="15874" max="15874" width="7" style="1" customWidth="1"/>
    <col min="15875" max="15875" width="10.7109375" style="1" customWidth="1"/>
    <col min="15876" max="15876" width="15.7109375" style="1" customWidth="1"/>
    <col min="15877" max="15878" width="13.42578125" style="1" customWidth="1"/>
    <col min="15879" max="15879" width="17.85546875" style="1" customWidth="1"/>
    <col min="15880" max="15880" width="16" style="1" customWidth="1"/>
    <col min="15881" max="15881" width="43.42578125" style="1" customWidth="1"/>
    <col min="15882" max="16129" width="9.140625" style="1"/>
    <col min="16130" max="16130" width="7" style="1" customWidth="1"/>
    <col min="16131" max="16131" width="10.7109375" style="1" customWidth="1"/>
    <col min="16132" max="16132" width="15.7109375" style="1" customWidth="1"/>
    <col min="16133" max="16134" width="13.42578125" style="1" customWidth="1"/>
    <col min="16135" max="16135" width="17.85546875" style="1" customWidth="1"/>
    <col min="16136" max="16136" width="16" style="1" customWidth="1"/>
    <col min="16137" max="16137" width="43.42578125" style="1" customWidth="1"/>
    <col min="16138" max="16384" width="9.140625" style="1"/>
  </cols>
  <sheetData>
    <row r="1" spans="1:9" ht="63.75" customHeight="1">
      <c r="A1" s="34"/>
      <c r="B1" s="34"/>
      <c r="C1" s="40"/>
      <c r="D1" s="40"/>
      <c r="E1" s="39"/>
      <c r="F1" s="39"/>
      <c r="G1" s="39"/>
      <c r="H1" s="3198" t="s">
        <v>1281</v>
      </c>
      <c r="I1" s="3198"/>
    </row>
    <row r="2" spans="1:9" ht="50.25" customHeight="1">
      <c r="A2" s="3303" t="s">
        <v>108</v>
      </c>
      <c r="B2" s="3303"/>
      <c r="C2" s="3303"/>
      <c r="D2" s="3303"/>
      <c r="E2" s="3303"/>
      <c r="F2" s="3303"/>
      <c r="G2" s="3303"/>
      <c r="H2" s="3303"/>
      <c r="I2" s="3303"/>
    </row>
    <row r="3" spans="1:9" ht="15.75" thickBot="1">
      <c r="A3" s="6"/>
      <c r="B3" s="6"/>
      <c r="C3" s="6"/>
      <c r="D3" s="6"/>
      <c r="E3" s="6"/>
      <c r="F3" s="6"/>
      <c r="G3" s="6"/>
      <c r="H3" s="6"/>
      <c r="I3" s="5" t="s">
        <v>21</v>
      </c>
    </row>
    <row r="4" spans="1:9" ht="24.75" customHeight="1" thickBot="1">
      <c r="A4" s="3304" t="s">
        <v>0</v>
      </c>
      <c r="B4" s="3306" t="s">
        <v>1</v>
      </c>
      <c r="C4" s="3308" t="s">
        <v>64</v>
      </c>
      <c r="D4" s="3312" t="s">
        <v>5</v>
      </c>
      <c r="E4" s="3310" t="s">
        <v>59</v>
      </c>
      <c r="F4" s="3314" t="s">
        <v>57</v>
      </c>
      <c r="G4" s="3315"/>
      <c r="H4" s="3312" t="s">
        <v>63</v>
      </c>
      <c r="I4" s="3304" t="s">
        <v>62</v>
      </c>
    </row>
    <row r="5" spans="1:9" ht="15" customHeight="1" thickBot="1">
      <c r="A5" s="3304"/>
      <c r="B5" s="3306"/>
      <c r="C5" s="3308"/>
      <c r="D5" s="3312"/>
      <c r="E5" s="3310"/>
      <c r="F5" s="3316" t="s">
        <v>20</v>
      </c>
      <c r="G5" s="3318" t="s">
        <v>19</v>
      </c>
      <c r="H5" s="3312"/>
      <c r="I5" s="3304"/>
    </row>
    <row r="6" spans="1:9" ht="15" customHeight="1" thickBot="1">
      <c r="A6" s="3305"/>
      <c r="B6" s="3307"/>
      <c r="C6" s="3309"/>
      <c r="D6" s="3313"/>
      <c r="E6" s="3311"/>
      <c r="F6" s="3317"/>
      <c r="G6" s="3319"/>
      <c r="H6" s="3313"/>
      <c r="I6" s="3305"/>
    </row>
    <row r="7" spans="1:9" ht="32.25" customHeight="1" thickBot="1">
      <c r="A7" s="3267" t="s">
        <v>7</v>
      </c>
      <c r="B7" s="3292" t="s">
        <v>134</v>
      </c>
      <c r="C7" s="3293"/>
      <c r="D7" s="351"/>
      <c r="E7" s="345">
        <f>SUM(E8:E9)</f>
        <v>2055000</v>
      </c>
      <c r="F7" s="199">
        <f>SUM(F8:F9)</f>
        <v>0</v>
      </c>
      <c r="G7" s="221">
        <f>SUM(G8:G9)</f>
        <v>2055000</v>
      </c>
      <c r="H7" s="223"/>
      <c r="I7" s="218"/>
    </row>
    <row r="8" spans="1:9" ht="92.25" customHeight="1">
      <c r="A8" s="3298"/>
      <c r="B8" s="3294" t="s">
        <v>113</v>
      </c>
      <c r="C8" s="3296" t="s">
        <v>155</v>
      </c>
      <c r="D8" s="3288">
        <v>6300</v>
      </c>
      <c r="E8" s="346">
        <f>SUM(F8:G8)</f>
        <v>1155000</v>
      </c>
      <c r="F8" s="244">
        <v>0</v>
      </c>
      <c r="G8" s="245">
        <v>1155000</v>
      </c>
      <c r="H8" s="246" t="s">
        <v>157</v>
      </c>
      <c r="I8" s="247" t="s">
        <v>1273</v>
      </c>
    </row>
    <row r="9" spans="1:9" ht="60.75" customHeight="1" thickBot="1">
      <c r="A9" s="3298"/>
      <c r="B9" s="3295"/>
      <c r="C9" s="3297"/>
      <c r="D9" s="3289"/>
      <c r="E9" s="347">
        <f>SUM(F9:G9)</f>
        <v>900000</v>
      </c>
      <c r="F9" s="310">
        <v>0</v>
      </c>
      <c r="G9" s="311">
        <v>900000</v>
      </c>
      <c r="H9" s="248" t="s">
        <v>156</v>
      </c>
      <c r="I9" s="249" t="s">
        <v>1070</v>
      </c>
    </row>
    <row r="10" spans="1:9" ht="60.75" customHeight="1" thickBot="1">
      <c r="A10" s="3267" t="s">
        <v>654</v>
      </c>
      <c r="B10" s="3301" t="s">
        <v>286</v>
      </c>
      <c r="C10" s="3302"/>
      <c r="D10" s="352"/>
      <c r="E10" s="348">
        <f>SUM(F10:G10)</f>
        <v>200000</v>
      </c>
      <c r="F10" s="2502">
        <f>SUM(F11)</f>
        <v>0</v>
      </c>
      <c r="G10" s="2503">
        <f>SUM(G11)</f>
        <v>200000</v>
      </c>
      <c r="H10" s="224"/>
      <c r="I10" s="219"/>
    </row>
    <row r="11" spans="1:9" ht="60.75" customHeight="1" thickBot="1">
      <c r="A11" s="3268"/>
      <c r="B11" s="323" t="s">
        <v>656</v>
      </c>
      <c r="C11" s="2499" t="s">
        <v>1270</v>
      </c>
      <c r="D11" s="353">
        <v>6300</v>
      </c>
      <c r="E11" s="349">
        <f>SUM(G11)</f>
        <v>200000</v>
      </c>
      <c r="F11" s="2500">
        <v>0</v>
      </c>
      <c r="G11" s="2501">
        <v>200000</v>
      </c>
      <c r="H11" s="225" t="s">
        <v>1271</v>
      </c>
      <c r="I11" s="220" t="s">
        <v>1272</v>
      </c>
    </row>
    <row r="12" spans="1:9" ht="43.5" customHeight="1" thickBot="1">
      <c r="A12" s="3267" t="s">
        <v>132</v>
      </c>
      <c r="B12" s="3299" t="s">
        <v>198</v>
      </c>
      <c r="C12" s="3300"/>
      <c r="D12" s="352"/>
      <c r="E12" s="348">
        <f>SUM(E13:E13)</f>
        <v>5000000</v>
      </c>
      <c r="F12" s="198">
        <f>SUM(F13:F13)</f>
        <v>0</v>
      </c>
      <c r="G12" s="222">
        <f>SUM(G13:G13)</f>
        <v>5000000</v>
      </c>
      <c r="H12" s="224"/>
      <c r="I12" s="219"/>
    </row>
    <row r="13" spans="1:9" ht="43.5" customHeight="1" thickBot="1">
      <c r="A13" s="3268"/>
      <c r="B13" s="323" t="s">
        <v>197</v>
      </c>
      <c r="C13" s="344" t="s">
        <v>204</v>
      </c>
      <c r="D13" s="353">
        <v>6300</v>
      </c>
      <c r="E13" s="349">
        <f>SUM(F13:G13)</f>
        <v>5000000</v>
      </c>
      <c r="F13" s="180">
        <v>0</v>
      </c>
      <c r="G13" s="197">
        <v>5000000</v>
      </c>
      <c r="H13" s="225" t="s">
        <v>199</v>
      </c>
      <c r="I13" s="220" t="s">
        <v>200</v>
      </c>
    </row>
    <row r="14" spans="1:9" ht="30" customHeight="1" thickBot="1">
      <c r="A14" s="3290" t="s">
        <v>61</v>
      </c>
      <c r="B14" s="3290"/>
      <c r="C14" s="3291"/>
      <c r="D14" s="128"/>
      <c r="E14" s="350">
        <f>SUM(F14:G14)</f>
        <v>7255000</v>
      </c>
      <c r="F14" s="128">
        <f>SUM(F7,F10,F12)</f>
        <v>0</v>
      </c>
      <c r="G14" s="128">
        <f>SUM(G7,G10,G12)</f>
        <v>7255000</v>
      </c>
      <c r="H14" s="128"/>
      <c r="I14" s="129"/>
    </row>
    <row r="27" spans="4:4">
      <c r="D27" s="100"/>
    </row>
  </sheetData>
  <mergeCells count="22">
    <mergeCell ref="H1:I1"/>
    <mergeCell ref="A2:I2"/>
    <mergeCell ref="A4:A6"/>
    <mergeCell ref="B4:B6"/>
    <mergeCell ref="C4:C6"/>
    <mergeCell ref="E4:E6"/>
    <mergeCell ref="H4:H6"/>
    <mergeCell ref="I4:I6"/>
    <mergeCell ref="D4:D6"/>
    <mergeCell ref="F4:G4"/>
    <mergeCell ref="F5:F6"/>
    <mergeCell ref="G5:G6"/>
    <mergeCell ref="D8:D9"/>
    <mergeCell ref="A14:C14"/>
    <mergeCell ref="B7:C7"/>
    <mergeCell ref="B8:B9"/>
    <mergeCell ref="C8:C9"/>
    <mergeCell ref="A7:A9"/>
    <mergeCell ref="A12:A13"/>
    <mergeCell ref="B12:C12"/>
    <mergeCell ref="A10:A11"/>
    <mergeCell ref="B10:C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I23"/>
  <sheetViews>
    <sheetView view="pageBreakPreview" zoomScaleNormal="100" zoomScaleSheetLayoutView="100" workbookViewId="0">
      <selection activeCell="H1" sqref="H1:I1"/>
    </sheetView>
  </sheetViews>
  <sheetFormatPr defaultRowHeight="12.75"/>
  <cols>
    <col min="1" max="1" width="8.28515625" style="1" customWidth="1"/>
    <col min="2" max="2" width="10.5703125" style="1" customWidth="1"/>
    <col min="3" max="3" width="15.140625" style="1" customWidth="1"/>
    <col min="4" max="4" width="12.28515625" style="1" customWidth="1"/>
    <col min="5" max="6" width="12" style="1" customWidth="1"/>
    <col min="7" max="8" width="13.85546875" style="1" customWidth="1"/>
    <col min="9" max="9" width="51.5703125" style="1" customWidth="1"/>
    <col min="10" max="257" width="9.140625" style="1"/>
    <col min="258" max="258" width="8.28515625" style="1" customWidth="1"/>
    <col min="259" max="259" width="10.5703125" style="1" customWidth="1"/>
    <col min="260" max="260" width="15.140625" style="1" customWidth="1"/>
    <col min="261" max="262" width="12" style="1" customWidth="1"/>
    <col min="263" max="264" width="13.85546875" style="1" customWidth="1"/>
    <col min="265" max="265" width="51.5703125" style="1" customWidth="1"/>
    <col min="266" max="513" width="9.140625" style="1"/>
    <col min="514" max="514" width="8.28515625" style="1" customWidth="1"/>
    <col min="515" max="515" width="10.5703125" style="1" customWidth="1"/>
    <col min="516" max="516" width="15.140625" style="1" customWidth="1"/>
    <col min="517" max="518" width="12" style="1" customWidth="1"/>
    <col min="519" max="520" width="13.85546875" style="1" customWidth="1"/>
    <col min="521" max="521" width="51.5703125" style="1" customWidth="1"/>
    <col min="522" max="769" width="9.140625" style="1"/>
    <col min="770" max="770" width="8.28515625" style="1" customWidth="1"/>
    <col min="771" max="771" width="10.5703125" style="1" customWidth="1"/>
    <col min="772" max="772" width="15.140625" style="1" customWidth="1"/>
    <col min="773" max="774" width="12" style="1" customWidth="1"/>
    <col min="775" max="776" width="13.85546875" style="1" customWidth="1"/>
    <col min="777" max="777" width="51.5703125" style="1" customWidth="1"/>
    <col min="778" max="1025" width="9.140625" style="1"/>
    <col min="1026" max="1026" width="8.28515625" style="1" customWidth="1"/>
    <col min="1027" max="1027" width="10.5703125" style="1" customWidth="1"/>
    <col min="1028" max="1028" width="15.140625" style="1" customWidth="1"/>
    <col min="1029" max="1030" width="12" style="1" customWidth="1"/>
    <col min="1031" max="1032" width="13.85546875" style="1" customWidth="1"/>
    <col min="1033" max="1033" width="51.5703125" style="1" customWidth="1"/>
    <col min="1034" max="1281" width="9.140625" style="1"/>
    <col min="1282" max="1282" width="8.28515625" style="1" customWidth="1"/>
    <col min="1283" max="1283" width="10.5703125" style="1" customWidth="1"/>
    <col min="1284" max="1284" width="15.140625" style="1" customWidth="1"/>
    <col min="1285" max="1286" width="12" style="1" customWidth="1"/>
    <col min="1287" max="1288" width="13.85546875" style="1" customWidth="1"/>
    <col min="1289" max="1289" width="51.5703125" style="1" customWidth="1"/>
    <col min="1290" max="1537" width="9.140625" style="1"/>
    <col min="1538" max="1538" width="8.28515625" style="1" customWidth="1"/>
    <col min="1539" max="1539" width="10.5703125" style="1" customWidth="1"/>
    <col min="1540" max="1540" width="15.140625" style="1" customWidth="1"/>
    <col min="1541" max="1542" width="12" style="1" customWidth="1"/>
    <col min="1543" max="1544" width="13.85546875" style="1" customWidth="1"/>
    <col min="1545" max="1545" width="51.5703125" style="1" customWidth="1"/>
    <col min="1546" max="1793" width="9.140625" style="1"/>
    <col min="1794" max="1794" width="8.28515625" style="1" customWidth="1"/>
    <col min="1795" max="1795" width="10.5703125" style="1" customWidth="1"/>
    <col min="1796" max="1796" width="15.140625" style="1" customWidth="1"/>
    <col min="1797" max="1798" width="12" style="1" customWidth="1"/>
    <col min="1799" max="1800" width="13.85546875" style="1" customWidth="1"/>
    <col min="1801" max="1801" width="51.5703125" style="1" customWidth="1"/>
    <col min="1802" max="2049" width="9.140625" style="1"/>
    <col min="2050" max="2050" width="8.28515625" style="1" customWidth="1"/>
    <col min="2051" max="2051" width="10.5703125" style="1" customWidth="1"/>
    <col min="2052" max="2052" width="15.140625" style="1" customWidth="1"/>
    <col min="2053" max="2054" width="12" style="1" customWidth="1"/>
    <col min="2055" max="2056" width="13.85546875" style="1" customWidth="1"/>
    <col min="2057" max="2057" width="51.5703125" style="1" customWidth="1"/>
    <col min="2058" max="2305" width="9.140625" style="1"/>
    <col min="2306" max="2306" width="8.28515625" style="1" customWidth="1"/>
    <col min="2307" max="2307" width="10.5703125" style="1" customWidth="1"/>
    <col min="2308" max="2308" width="15.140625" style="1" customWidth="1"/>
    <col min="2309" max="2310" width="12" style="1" customWidth="1"/>
    <col min="2311" max="2312" width="13.85546875" style="1" customWidth="1"/>
    <col min="2313" max="2313" width="51.5703125" style="1" customWidth="1"/>
    <col min="2314" max="2561" width="9.140625" style="1"/>
    <col min="2562" max="2562" width="8.28515625" style="1" customWidth="1"/>
    <col min="2563" max="2563" width="10.5703125" style="1" customWidth="1"/>
    <col min="2564" max="2564" width="15.140625" style="1" customWidth="1"/>
    <col min="2565" max="2566" width="12" style="1" customWidth="1"/>
    <col min="2567" max="2568" width="13.85546875" style="1" customWidth="1"/>
    <col min="2569" max="2569" width="51.5703125" style="1" customWidth="1"/>
    <col min="2570" max="2817" width="9.140625" style="1"/>
    <col min="2818" max="2818" width="8.28515625" style="1" customWidth="1"/>
    <col min="2819" max="2819" width="10.5703125" style="1" customWidth="1"/>
    <col min="2820" max="2820" width="15.140625" style="1" customWidth="1"/>
    <col min="2821" max="2822" width="12" style="1" customWidth="1"/>
    <col min="2823" max="2824" width="13.85546875" style="1" customWidth="1"/>
    <col min="2825" max="2825" width="51.5703125" style="1" customWidth="1"/>
    <col min="2826" max="3073" width="9.140625" style="1"/>
    <col min="3074" max="3074" width="8.28515625" style="1" customWidth="1"/>
    <col min="3075" max="3075" width="10.5703125" style="1" customWidth="1"/>
    <col min="3076" max="3076" width="15.140625" style="1" customWidth="1"/>
    <col min="3077" max="3078" width="12" style="1" customWidth="1"/>
    <col min="3079" max="3080" width="13.85546875" style="1" customWidth="1"/>
    <col min="3081" max="3081" width="51.5703125" style="1" customWidth="1"/>
    <col min="3082" max="3329" width="9.140625" style="1"/>
    <col min="3330" max="3330" width="8.28515625" style="1" customWidth="1"/>
    <col min="3331" max="3331" width="10.5703125" style="1" customWidth="1"/>
    <col min="3332" max="3332" width="15.140625" style="1" customWidth="1"/>
    <col min="3333" max="3334" width="12" style="1" customWidth="1"/>
    <col min="3335" max="3336" width="13.85546875" style="1" customWidth="1"/>
    <col min="3337" max="3337" width="51.5703125" style="1" customWidth="1"/>
    <col min="3338" max="3585" width="9.140625" style="1"/>
    <col min="3586" max="3586" width="8.28515625" style="1" customWidth="1"/>
    <col min="3587" max="3587" width="10.5703125" style="1" customWidth="1"/>
    <col min="3588" max="3588" width="15.140625" style="1" customWidth="1"/>
    <col min="3589" max="3590" width="12" style="1" customWidth="1"/>
    <col min="3591" max="3592" width="13.85546875" style="1" customWidth="1"/>
    <col min="3593" max="3593" width="51.5703125" style="1" customWidth="1"/>
    <col min="3594" max="3841" width="9.140625" style="1"/>
    <col min="3842" max="3842" width="8.28515625" style="1" customWidth="1"/>
    <col min="3843" max="3843" width="10.5703125" style="1" customWidth="1"/>
    <col min="3844" max="3844" width="15.140625" style="1" customWidth="1"/>
    <col min="3845" max="3846" width="12" style="1" customWidth="1"/>
    <col min="3847" max="3848" width="13.85546875" style="1" customWidth="1"/>
    <col min="3849" max="3849" width="51.5703125" style="1" customWidth="1"/>
    <col min="3850" max="4097" width="9.140625" style="1"/>
    <col min="4098" max="4098" width="8.28515625" style="1" customWidth="1"/>
    <col min="4099" max="4099" width="10.5703125" style="1" customWidth="1"/>
    <col min="4100" max="4100" width="15.140625" style="1" customWidth="1"/>
    <col min="4101" max="4102" width="12" style="1" customWidth="1"/>
    <col min="4103" max="4104" width="13.85546875" style="1" customWidth="1"/>
    <col min="4105" max="4105" width="51.5703125" style="1" customWidth="1"/>
    <col min="4106" max="4353" width="9.140625" style="1"/>
    <col min="4354" max="4354" width="8.28515625" style="1" customWidth="1"/>
    <col min="4355" max="4355" width="10.5703125" style="1" customWidth="1"/>
    <col min="4356" max="4356" width="15.140625" style="1" customWidth="1"/>
    <col min="4357" max="4358" width="12" style="1" customWidth="1"/>
    <col min="4359" max="4360" width="13.85546875" style="1" customWidth="1"/>
    <col min="4361" max="4361" width="51.5703125" style="1" customWidth="1"/>
    <col min="4362" max="4609" width="9.140625" style="1"/>
    <col min="4610" max="4610" width="8.28515625" style="1" customWidth="1"/>
    <col min="4611" max="4611" width="10.5703125" style="1" customWidth="1"/>
    <col min="4612" max="4612" width="15.140625" style="1" customWidth="1"/>
    <col min="4613" max="4614" width="12" style="1" customWidth="1"/>
    <col min="4615" max="4616" width="13.85546875" style="1" customWidth="1"/>
    <col min="4617" max="4617" width="51.5703125" style="1" customWidth="1"/>
    <col min="4618" max="4865" width="9.140625" style="1"/>
    <col min="4866" max="4866" width="8.28515625" style="1" customWidth="1"/>
    <col min="4867" max="4867" width="10.5703125" style="1" customWidth="1"/>
    <col min="4868" max="4868" width="15.140625" style="1" customWidth="1"/>
    <col min="4869" max="4870" width="12" style="1" customWidth="1"/>
    <col min="4871" max="4872" width="13.85546875" style="1" customWidth="1"/>
    <col min="4873" max="4873" width="51.5703125" style="1" customWidth="1"/>
    <col min="4874" max="5121" width="9.140625" style="1"/>
    <col min="5122" max="5122" width="8.28515625" style="1" customWidth="1"/>
    <col min="5123" max="5123" width="10.5703125" style="1" customWidth="1"/>
    <col min="5124" max="5124" width="15.140625" style="1" customWidth="1"/>
    <col min="5125" max="5126" width="12" style="1" customWidth="1"/>
    <col min="5127" max="5128" width="13.85546875" style="1" customWidth="1"/>
    <col min="5129" max="5129" width="51.5703125" style="1" customWidth="1"/>
    <col min="5130" max="5377" width="9.140625" style="1"/>
    <col min="5378" max="5378" width="8.28515625" style="1" customWidth="1"/>
    <col min="5379" max="5379" width="10.5703125" style="1" customWidth="1"/>
    <col min="5380" max="5380" width="15.140625" style="1" customWidth="1"/>
    <col min="5381" max="5382" width="12" style="1" customWidth="1"/>
    <col min="5383" max="5384" width="13.85546875" style="1" customWidth="1"/>
    <col min="5385" max="5385" width="51.5703125" style="1" customWidth="1"/>
    <col min="5386" max="5633" width="9.140625" style="1"/>
    <col min="5634" max="5634" width="8.28515625" style="1" customWidth="1"/>
    <col min="5635" max="5635" width="10.5703125" style="1" customWidth="1"/>
    <col min="5636" max="5636" width="15.140625" style="1" customWidth="1"/>
    <col min="5637" max="5638" width="12" style="1" customWidth="1"/>
    <col min="5639" max="5640" width="13.85546875" style="1" customWidth="1"/>
    <col min="5641" max="5641" width="51.5703125" style="1" customWidth="1"/>
    <col min="5642" max="5889" width="9.140625" style="1"/>
    <col min="5890" max="5890" width="8.28515625" style="1" customWidth="1"/>
    <col min="5891" max="5891" width="10.5703125" style="1" customWidth="1"/>
    <col min="5892" max="5892" width="15.140625" style="1" customWidth="1"/>
    <col min="5893" max="5894" width="12" style="1" customWidth="1"/>
    <col min="5895" max="5896" width="13.85546875" style="1" customWidth="1"/>
    <col min="5897" max="5897" width="51.5703125" style="1" customWidth="1"/>
    <col min="5898" max="6145" width="9.140625" style="1"/>
    <col min="6146" max="6146" width="8.28515625" style="1" customWidth="1"/>
    <col min="6147" max="6147" width="10.5703125" style="1" customWidth="1"/>
    <col min="6148" max="6148" width="15.140625" style="1" customWidth="1"/>
    <col min="6149" max="6150" width="12" style="1" customWidth="1"/>
    <col min="6151" max="6152" width="13.85546875" style="1" customWidth="1"/>
    <col min="6153" max="6153" width="51.5703125" style="1" customWidth="1"/>
    <col min="6154" max="6401" width="9.140625" style="1"/>
    <col min="6402" max="6402" width="8.28515625" style="1" customWidth="1"/>
    <col min="6403" max="6403" width="10.5703125" style="1" customWidth="1"/>
    <col min="6404" max="6404" width="15.140625" style="1" customWidth="1"/>
    <col min="6405" max="6406" width="12" style="1" customWidth="1"/>
    <col min="6407" max="6408" width="13.85546875" style="1" customWidth="1"/>
    <col min="6409" max="6409" width="51.5703125" style="1" customWidth="1"/>
    <col min="6410" max="6657" width="9.140625" style="1"/>
    <col min="6658" max="6658" width="8.28515625" style="1" customWidth="1"/>
    <col min="6659" max="6659" width="10.5703125" style="1" customWidth="1"/>
    <col min="6660" max="6660" width="15.140625" style="1" customWidth="1"/>
    <col min="6661" max="6662" width="12" style="1" customWidth="1"/>
    <col min="6663" max="6664" width="13.85546875" style="1" customWidth="1"/>
    <col min="6665" max="6665" width="51.5703125" style="1" customWidth="1"/>
    <col min="6666" max="6913" width="9.140625" style="1"/>
    <col min="6914" max="6914" width="8.28515625" style="1" customWidth="1"/>
    <col min="6915" max="6915" width="10.5703125" style="1" customWidth="1"/>
    <col min="6916" max="6916" width="15.140625" style="1" customWidth="1"/>
    <col min="6917" max="6918" width="12" style="1" customWidth="1"/>
    <col min="6919" max="6920" width="13.85546875" style="1" customWidth="1"/>
    <col min="6921" max="6921" width="51.5703125" style="1" customWidth="1"/>
    <col min="6922" max="7169" width="9.140625" style="1"/>
    <col min="7170" max="7170" width="8.28515625" style="1" customWidth="1"/>
    <col min="7171" max="7171" width="10.5703125" style="1" customWidth="1"/>
    <col min="7172" max="7172" width="15.140625" style="1" customWidth="1"/>
    <col min="7173" max="7174" width="12" style="1" customWidth="1"/>
    <col min="7175" max="7176" width="13.85546875" style="1" customWidth="1"/>
    <col min="7177" max="7177" width="51.5703125" style="1" customWidth="1"/>
    <col min="7178" max="7425" width="9.140625" style="1"/>
    <col min="7426" max="7426" width="8.28515625" style="1" customWidth="1"/>
    <col min="7427" max="7427" width="10.5703125" style="1" customWidth="1"/>
    <col min="7428" max="7428" width="15.140625" style="1" customWidth="1"/>
    <col min="7429" max="7430" width="12" style="1" customWidth="1"/>
    <col min="7431" max="7432" width="13.85546875" style="1" customWidth="1"/>
    <col min="7433" max="7433" width="51.5703125" style="1" customWidth="1"/>
    <col min="7434" max="7681" width="9.140625" style="1"/>
    <col min="7682" max="7682" width="8.28515625" style="1" customWidth="1"/>
    <col min="7683" max="7683" width="10.5703125" style="1" customWidth="1"/>
    <col min="7684" max="7684" width="15.140625" style="1" customWidth="1"/>
    <col min="7685" max="7686" width="12" style="1" customWidth="1"/>
    <col min="7687" max="7688" width="13.85546875" style="1" customWidth="1"/>
    <col min="7689" max="7689" width="51.5703125" style="1" customWidth="1"/>
    <col min="7690" max="7937" width="9.140625" style="1"/>
    <col min="7938" max="7938" width="8.28515625" style="1" customWidth="1"/>
    <col min="7939" max="7939" width="10.5703125" style="1" customWidth="1"/>
    <col min="7940" max="7940" width="15.140625" style="1" customWidth="1"/>
    <col min="7941" max="7942" width="12" style="1" customWidth="1"/>
    <col min="7943" max="7944" width="13.85546875" style="1" customWidth="1"/>
    <col min="7945" max="7945" width="51.5703125" style="1" customWidth="1"/>
    <col min="7946" max="8193" width="9.140625" style="1"/>
    <col min="8194" max="8194" width="8.28515625" style="1" customWidth="1"/>
    <col min="8195" max="8195" width="10.5703125" style="1" customWidth="1"/>
    <col min="8196" max="8196" width="15.140625" style="1" customWidth="1"/>
    <col min="8197" max="8198" width="12" style="1" customWidth="1"/>
    <col min="8199" max="8200" width="13.85546875" style="1" customWidth="1"/>
    <col min="8201" max="8201" width="51.5703125" style="1" customWidth="1"/>
    <col min="8202" max="8449" width="9.140625" style="1"/>
    <col min="8450" max="8450" width="8.28515625" style="1" customWidth="1"/>
    <col min="8451" max="8451" width="10.5703125" style="1" customWidth="1"/>
    <col min="8452" max="8452" width="15.140625" style="1" customWidth="1"/>
    <col min="8453" max="8454" width="12" style="1" customWidth="1"/>
    <col min="8455" max="8456" width="13.85546875" style="1" customWidth="1"/>
    <col min="8457" max="8457" width="51.5703125" style="1" customWidth="1"/>
    <col min="8458" max="8705" width="9.140625" style="1"/>
    <col min="8706" max="8706" width="8.28515625" style="1" customWidth="1"/>
    <col min="8707" max="8707" width="10.5703125" style="1" customWidth="1"/>
    <col min="8708" max="8708" width="15.140625" style="1" customWidth="1"/>
    <col min="8709" max="8710" width="12" style="1" customWidth="1"/>
    <col min="8711" max="8712" width="13.85546875" style="1" customWidth="1"/>
    <col min="8713" max="8713" width="51.5703125" style="1" customWidth="1"/>
    <col min="8714" max="8961" width="9.140625" style="1"/>
    <col min="8962" max="8962" width="8.28515625" style="1" customWidth="1"/>
    <col min="8963" max="8963" width="10.5703125" style="1" customWidth="1"/>
    <col min="8964" max="8964" width="15.140625" style="1" customWidth="1"/>
    <col min="8965" max="8966" width="12" style="1" customWidth="1"/>
    <col min="8967" max="8968" width="13.85546875" style="1" customWidth="1"/>
    <col min="8969" max="8969" width="51.5703125" style="1" customWidth="1"/>
    <col min="8970" max="9217" width="9.140625" style="1"/>
    <col min="9218" max="9218" width="8.28515625" style="1" customWidth="1"/>
    <col min="9219" max="9219" width="10.5703125" style="1" customWidth="1"/>
    <col min="9220" max="9220" width="15.140625" style="1" customWidth="1"/>
    <col min="9221" max="9222" width="12" style="1" customWidth="1"/>
    <col min="9223" max="9224" width="13.85546875" style="1" customWidth="1"/>
    <col min="9225" max="9225" width="51.5703125" style="1" customWidth="1"/>
    <col min="9226" max="9473" width="9.140625" style="1"/>
    <col min="9474" max="9474" width="8.28515625" style="1" customWidth="1"/>
    <col min="9475" max="9475" width="10.5703125" style="1" customWidth="1"/>
    <col min="9476" max="9476" width="15.140625" style="1" customWidth="1"/>
    <col min="9477" max="9478" width="12" style="1" customWidth="1"/>
    <col min="9479" max="9480" width="13.85546875" style="1" customWidth="1"/>
    <col min="9481" max="9481" width="51.5703125" style="1" customWidth="1"/>
    <col min="9482" max="9729" width="9.140625" style="1"/>
    <col min="9730" max="9730" width="8.28515625" style="1" customWidth="1"/>
    <col min="9731" max="9731" width="10.5703125" style="1" customWidth="1"/>
    <col min="9732" max="9732" width="15.140625" style="1" customWidth="1"/>
    <col min="9733" max="9734" width="12" style="1" customWidth="1"/>
    <col min="9735" max="9736" width="13.85546875" style="1" customWidth="1"/>
    <col min="9737" max="9737" width="51.5703125" style="1" customWidth="1"/>
    <col min="9738" max="9985" width="9.140625" style="1"/>
    <col min="9986" max="9986" width="8.28515625" style="1" customWidth="1"/>
    <col min="9987" max="9987" width="10.5703125" style="1" customWidth="1"/>
    <col min="9988" max="9988" width="15.140625" style="1" customWidth="1"/>
    <col min="9989" max="9990" width="12" style="1" customWidth="1"/>
    <col min="9991" max="9992" width="13.85546875" style="1" customWidth="1"/>
    <col min="9993" max="9993" width="51.5703125" style="1" customWidth="1"/>
    <col min="9994" max="10241" width="9.140625" style="1"/>
    <col min="10242" max="10242" width="8.28515625" style="1" customWidth="1"/>
    <col min="10243" max="10243" width="10.5703125" style="1" customWidth="1"/>
    <col min="10244" max="10244" width="15.140625" style="1" customWidth="1"/>
    <col min="10245" max="10246" width="12" style="1" customWidth="1"/>
    <col min="10247" max="10248" width="13.85546875" style="1" customWidth="1"/>
    <col min="10249" max="10249" width="51.5703125" style="1" customWidth="1"/>
    <col min="10250" max="10497" width="9.140625" style="1"/>
    <col min="10498" max="10498" width="8.28515625" style="1" customWidth="1"/>
    <col min="10499" max="10499" width="10.5703125" style="1" customWidth="1"/>
    <col min="10500" max="10500" width="15.140625" style="1" customWidth="1"/>
    <col min="10501" max="10502" width="12" style="1" customWidth="1"/>
    <col min="10503" max="10504" width="13.85546875" style="1" customWidth="1"/>
    <col min="10505" max="10505" width="51.5703125" style="1" customWidth="1"/>
    <col min="10506" max="10753" width="9.140625" style="1"/>
    <col min="10754" max="10754" width="8.28515625" style="1" customWidth="1"/>
    <col min="10755" max="10755" width="10.5703125" style="1" customWidth="1"/>
    <col min="10756" max="10756" width="15.140625" style="1" customWidth="1"/>
    <col min="10757" max="10758" width="12" style="1" customWidth="1"/>
    <col min="10759" max="10760" width="13.85546875" style="1" customWidth="1"/>
    <col min="10761" max="10761" width="51.5703125" style="1" customWidth="1"/>
    <col min="10762" max="11009" width="9.140625" style="1"/>
    <col min="11010" max="11010" width="8.28515625" style="1" customWidth="1"/>
    <col min="11011" max="11011" width="10.5703125" style="1" customWidth="1"/>
    <col min="11012" max="11012" width="15.140625" style="1" customWidth="1"/>
    <col min="11013" max="11014" width="12" style="1" customWidth="1"/>
    <col min="11015" max="11016" width="13.85546875" style="1" customWidth="1"/>
    <col min="11017" max="11017" width="51.5703125" style="1" customWidth="1"/>
    <col min="11018" max="11265" width="9.140625" style="1"/>
    <col min="11266" max="11266" width="8.28515625" style="1" customWidth="1"/>
    <col min="11267" max="11267" width="10.5703125" style="1" customWidth="1"/>
    <col min="11268" max="11268" width="15.140625" style="1" customWidth="1"/>
    <col min="11269" max="11270" width="12" style="1" customWidth="1"/>
    <col min="11271" max="11272" width="13.85546875" style="1" customWidth="1"/>
    <col min="11273" max="11273" width="51.5703125" style="1" customWidth="1"/>
    <col min="11274" max="11521" width="9.140625" style="1"/>
    <col min="11522" max="11522" width="8.28515625" style="1" customWidth="1"/>
    <col min="11523" max="11523" width="10.5703125" style="1" customWidth="1"/>
    <col min="11524" max="11524" width="15.140625" style="1" customWidth="1"/>
    <col min="11525" max="11526" width="12" style="1" customWidth="1"/>
    <col min="11527" max="11528" width="13.85546875" style="1" customWidth="1"/>
    <col min="11529" max="11529" width="51.5703125" style="1" customWidth="1"/>
    <col min="11530" max="11777" width="9.140625" style="1"/>
    <col min="11778" max="11778" width="8.28515625" style="1" customWidth="1"/>
    <col min="11779" max="11779" width="10.5703125" style="1" customWidth="1"/>
    <col min="11780" max="11780" width="15.140625" style="1" customWidth="1"/>
    <col min="11781" max="11782" width="12" style="1" customWidth="1"/>
    <col min="11783" max="11784" width="13.85546875" style="1" customWidth="1"/>
    <col min="11785" max="11785" width="51.5703125" style="1" customWidth="1"/>
    <col min="11786" max="12033" width="9.140625" style="1"/>
    <col min="12034" max="12034" width="8.28515625" style="1" customWidth="1"/>
    <col min="12035" max="12035" width="10.5703125" style="1" customWidth="1"/>
    <col min="12036" max="12036" width="15.140625" style="1" customWidth="1"/>
    <col min="12037" max="12038" width="12" style="1" customWidth="1"/>
    <col min="12039" max="12040" width="13.85546875" style="1" customWidth="1"/>
    <col min="12041" max="12041" width="51.5703125" style="1" customWidth="1"/>
    <col min="12042" max="12289" width="9.140625" style="1"/>
    <col min="12290" max="12290" width="8.28515625" style="1" customWidth="1"/>
    <col min="12291" max="12291" width="10.5703125" style="1" customWidth="1"/>
    <col min="12292" max="12292" width="15.140625" style="1" customWidth="1"/>
    <col min="12293" max="12294" width="12" style="1" customWidth="1"/>
    <col min="12295" max="12296" width="13.85546875" style="1" customWidth="1"/>
    <col min="12297" max="12297" width="51.5703125" style="1" customWidth="1"/>
    <col min="12298" max="12545" width="9.140625" style="1"/>
    <col min="12546" max="12546" width="8.28515625" style="1" customWidth="1"/>
    <col min="12547" max="12547" width="10.5703125" style="1" customWidth="1"/>
    <col min="12548" max="12548" width="15.140625" style="1" customWidth="1"/>
    <col min="12549" max="12550" width="12" style="1" customWidth="1"/>
    <col min="12551" max="12552" width="13.85546875" style="1" customWidth="1"/>
    <col min="12553" max="12553" width="51.5703125" style="1" customWidth="1"/>
    <col min="12554" max="12801" width="9.140625" style="1"/>
    <col min="12802" max="12802" width="8.28515625" style="1" customWidth="1"/>
    <col min="12803" max="12803" width="10.5703125" style="1" customWidth="1"/>
    <col min="12804" max="12804" width="15.140625" style="1" customWidth="1"/>
    <col min="12805" max="12806" width="12" style="1" customWidth="1"/>
    <col min="12807" max="12808" width="13.85546875" style="1" customWidth="1"/>
    <col min="12809" max="12809" width="51.5703125" style="1" customWidth="1"/>
    <col min="12810" max="13057" width="9.140625" style="1"/>
    <col min="13058" max="13058" width="8.28515625" style="1" customWidth="1"/>
    <col min="13059" max="13059" width="10.5703125" style="1" customWidth="1"/>
    <col min="13060" max="13060" width="15.140625" style="1" customWidth="1"/>
    <col min="13061" max="13062" width="12" style="1" customWidth="1"/>
    <col min="13063" max="13064" width="13.85546875" style="1" customWidth="1"/>
    <col min="13065" max="13065" width="51.5703125" style="1" customWidth="1"/>
    <col min="13066" max="13313" width="9.140625" style="1"/>
    <col min="13314" max="13314" width="8.28515625" style="1" customWidth="1"/>
    <col min="13315" max="13315" width="10.5703125" style="1" customWidth="1"/>
    <col min="13316" max="13316" width="15.140625" style="1" customWidth="1"/>
    <col min="13317" max="13318" width="12" style="1" customWidth="1"/>
    <col min="13319" max="13320" width="13.85546875" style="1" customWidth="1"/>
    <col min="13321" max="13321" width="51.5703125" style="1" customWidth="1"/>
    <col min="13322" max="13569" width="9.140625" style="1"/>
    <col min="13570" max="13570" width="8.28515625" style="1" customWidth="1"/>
    <col min="13571" max="13571" width="10.5703125" style="1" customWidth="1"/>
    <col min="13572" max="13572" width="15.140625" style="1" customWidth="1"/>
    <col min="13573" max="13574" width="12" style="1" customWidth="1"/>
    <col min="13575" max="13576" width="13.85546875" style="1" customWidth="1"/>
    <col min="13577" max="13577" width="51.5703125" style="1" customWidth="1"/>
    <col min="13578" max="13825" width="9.140625" style="1"/>
    <col min="13826" max="13826" width="8.28515625" style="1" customWidth="1"/>
    <col min="13827" max="13827" width="10.5703125" style="1" customWidth="1"/>
    <col min="13828" max="13828" width="15.140625" style="1" customWidth="1"/>
    <col min="13829" max="13830" width="12" style="1" customWidth="1"/>
    <col min="13831" max="13832" width="13.85546875" style="1" customWidth="1"/>
    <col min="13833" max="13833" width="51.5703125" style="1" customWidth="1"/>
    <col min="13834" max="14081" width="9.140625" style="1"/>
    <col min="14082" max="14082" width="8.28515625" style="1" customWidth="1"/>
    <col min="14083" max="14083" width="10.5703125" style="1" customWidth="1"/>
    <col min="14084" max="14084" width="15.140625" style="1" customWidth="1"/>
    <col min="14085" max="14086" width="12" style="1" customWidth="1"/>
    <col min="14087" max="14088" width="13.85546875" style="1" customWidth="1"/>
    <col min="14089" max="14089" width="51.5703125" style="1" customWidth="1"/>
    <col min="14090" max="14337" width="9.140625" style="1"/>
    <col min="14338" max="14338" width="8.28515625" style="1" customWidth="1"/>
    <col min="14339" max="14339" width="10.5703125" style="1" customWidth="1"/>
    <col min="14340" max="14340" width="15.140625" style="1" customWidth="1"/>
    <col min="14341" max="14342" width="12" style="1" customWidth="1"/>
    <col min="14343" max="14344" width="13.85546875" style="1" customWidth="1"/>
    <col min="14345" max="14345" width="51.5703125" style="1" customWidth="1"/>
    <col min="14346" max="14593" width="9.140625" style="1"/>
    <col min="14594" max="14594" width="8.28515625" style="1" customWidth="1"/>
    <col min="14595" max="14595" width="10.5703125" style="1" customWidth="1"/>
    <col min="14596" max="14596" width="15.140625" style="1" customWidth="1"/>
    <col min="14597" max="14598" width="12" style="1" customWidth="1"/>
    <col min="14599" max="14600" width="13.85546875" style="1" customWidth="1"/>
    <col min="14601" max="14601" width="51.5703125" style="1" customWidth="1"/>
    <col min="14602" max="14849" width="9.140625" style="1"/>
    <col min="14850" max="14850" width="8.28515625" style="1" customWidth="1"/>
    <col min="14851" max="14851" width="10.5703125" style="1" customWidth="1"/>
    <col min="14852" max="14852" width="15.140625" style="1" customWidth="1"/>
    <col min="14853" max="14854" width="12" style="1" customWidth="1"/>
    <col min="14855" max="14856" width="13.85546875" style="1" customWidth="1"/>
    <col min="14857" max="14857" width="51.5703125" style="1" customWidth="1"/>
    <col min="14858" max="15105" width="9.140625" style="1"/>
    <col min="15106" max="15106" width="8.28515625" style="1" customWidth="1"/>
    <col min="15107" max="15107" width="10.5703125" style="1" customWidth="1"/>
    <col min="15108" max="15108" width="15.140625" style="1" customWidth="1"/>
    <col min="15109" max="15110" width="12" style="1" customWidth="1"/>
    <col min="15111" max="15112" width="13.85546875" style="1" customWidth="1"/>
    <col min="15113" max="15113" width="51.5703125" style="1" customWidth="1"/>
    <col min="15114" max="15361" width="9.140625" style="1"/>
    <col min="15362" max="15362" width="8.28515625" style="1" customWidth="1"/>
    <col min="15363" max="15363" width="10.5703125" style="1" customWidth="1"/>
    <col min="15364" max="15364" width="15.140625" style="1" customWidth="1"/>
    <col min="15365" max="15366" width="12" style="1" customWidth="1"/>
    <col min="15367" max="15368" width="13.85546875" style="1" customWidth="1"/>
    <col min="15369" max="15369" width="51.5703125" style="1" customWidth="1"/>
    <col min="15370" max="15617" width="9.140625" style="1"/>
    <col min="15618" max="15618" width="8.28515625" style="1" customWidth="1"/>
    <col min="15619" max="15619" width="10.5703125" style="1" customWidth="1"/>
    <col min="15620" max="15620" width="15.140625" style="1" customWidth="1"/>
    <col min="15621" max="15622" width="12" style="1" customWidth="1"/>
    <col min="15623" max="15624" width="13.85546875" style="1" customWidth="1"/>
    <col min="15625" max="15625" width="51.5703125" style="1" customWidth="1"/>
    <col min="15626" max="15873" width="9.140625" style="1"/>
    <col min="15874" max="15874" width="8.28515625" style="1" customWidth="1"/>
    <col min="15875" max="15875" width="10.5703125" style="1" customWidth="1"/>
    <col min="15876" max="15876" width="15.140625" style="1" customWidth="1"/>
    <col min="15877" max="15878" width="12" style="1" customWidth="1"/>
    <col min="15879" max="15880" width="13.85546875" style="1" customWidth="1"/>
    <col min="15881" max="15881" width="51.5703125" style="1" customWidth="1"/>
    <col min="15882" max="16129" width="9.140625" style="1"/>
    <col min="16130" max="16130" width="8.28515625" style="1" customWidth="1"/>
    <col min="16131" max="16131" width="10.5703125" style="1" customWidth="1"/>
    <col min="16132" max="16132" width="15.140625" style="1" customWidth="1"/>
    <col min="16133" max="16134" width="12" style="1" customWidth="1"/>
    <col min="16135" max="16136" width="13.85546875" style="1" customWidth="1"/>
    <col min="16137" max="16137" width="51.5703125" style="1" customWidth="1"/>
    <col min="16138" max="16384" width="9.140625" style="1"/>
  </cols>
  <sheetData>
    <row r="1" spans="1:9" ht="56.25" customHeight="1">
      <c r="A1" s="34"/>
      <c r="B1" s="34"/>
      <c r="C1" s="40" t="s">
        <v>68</v>
      </c>
      <c r="D1" s="40"/>
      <c r="E1" s="39"/>
      <c r="F1" s="39"/>
      <c r="G1" s="39"/>
      <c r="H1" s="3198" t="s">
        <v>1282</v>
      </c>
      <c r="I1" s="3198"/>
    </row>
    <row r="2" spans="1:9" ht="45" customHeight="1">
      <c r="A2" s="3303" t="s">
        <v>67</v>
      </c>
      <c r="B2" s="3303"/>
      <c r="C2" s="3303"/>
      <c r="D2" s="3303"/>
      <c r="E2" s="3303"/>
      <c r="F2" s="3303"/>
      <c r="G2" s="3303"/>
      <c r="H2" s="3303"/>
      <c r="I2" s="3303"/>
    </row>
    <row r="3" spans="1:9" ht="15.75" thickBot="1">
      <c r="A3" s="6"/>
      <c r="B3" s="6"/>
      <c r="C3" s="6"/>
      <c r="D3" s="6"/>
      <c r="E3" s="6"/>
      <c r="F3" s="6"/>
      <c r="G3" s="6"/>
      <c r="H3" s="6"/>
      <c r="I3" s="5" t="s">
        <v>21</v>
      </c>
    </row>
    <row r="4" spans="1:9" ht="15.75" thickBot="1">
      <c r="A4" s="3304" t="s">
        <v>0</v>
      </c>
      <c r="B4" s="3304" t="s">
        <v>1</v>
      </c>
      <c r="C4" s="3308" t="s">
        <v>64</v>
      </c>
      <c r="D4" s="3305" t="s">
        <v>5</v>
      </c>
      <c r="E4" s="3312" t="s">
        <v>22</v>
      </c>
      <c r="F4" s="3310" t="s">
        <v>57</v>
      </c>
      <c r="G4" s="3312"/>
      <c r="H4" s="3312" t="s">
        <v>63</v>
      </c>
      <c r="I4" s="3304" t="s">
        <v>62</v>
      </c>
    </row>
    <row r="5" spans="1:9" ht="15.75" customHeight="1" thickBot="1">
      <c r="A5" s="3304"/>
      <c r="B5" s="3304"/>
      <c r="C5" s="3308"/>
      <c r="D5" s="3325"/>
      <c r="E5" s="3312"/>
      <c r="F5" s="3310" t="s">
        <v>20</v>
      </c>
      <c r="G5" s="3312" t="s">
        <v>19</v>
      </c>
      <c r="H5" s="3312"/>
      <c r="I5" s="3304"/>
    </row>
    <row r="6" spans="1:9" ht="15.75" customHeight="1" thickBot="1">
      <c r="A6" s="3304"/>
      <c r="B6" s="3304"/>
      <c r="C6" s="3308"/>
      <c r="D6" s="3326"/>
      <c r="E6" s="3312"/>
      <c r="F6" s="3310"/>
      <c r="G6" s="3312"/>
      <c r="H6" s="3312"/>
      <c r="I6" s="3304"/>
    </row>
    <row r="7" spans="1:9" ht="33.75" customHeight="1">
      <c r="A7" s="3321" t="s">
        <v>4</v>
      </c>
      <c r="B7" s="3320" t="s">
        <v>18</v>
      </c>
      <c r="C7" s="3320"/>
      <c r="D7" s="3320"/>
      <c r="E7" s="126">
        <f>SUM(E8)</f>
        <v>295097</v>
      </c>
      <c r="F7" s="126">
        <f>SUM(F8)</f>
        <v>295097</v>
      </c>
      <c r="G7" s="126">
        <f>SUM(G8)</f>
        <v>0</v>
      </c>
      <c r="H7" s="133"/>
      <c r="I7" s="134"/>
    </row>
    <row r="8" spans="1:9" ht="106.5" customHeight="1" thickBot="1">
      <c r="A8" s="3322"/>
      <c r="B8" s="130" t="s">
        <v>3</v>
      </c>
      <c r="C8" s="131" t="s">
        <v>6</v>
      </c>
      <c r="D8" s="131" t="s">
        <v>13</v>
      </c>
      <c r="E8" s="135">
        <f>SUM(F8:G8)</f>
        <v>295097</v>
      </c>
      <c r="F8" s="132">
        <v>295097</v>
      </c>
      <c r="G8" s="132">
        <v>0</v>
      </c>
      <c r="H8" s="124" t="s">
        <v>66</v>
      </c>
      <c r="I8" s="125" t="s">
        <v>65</v>
      </c>
    </row>
    <row r="9" spans="1:9" ht="23.25" customHeight="1" thickBot="1">
      <c r="A9" s="3323" t="s">
        <v>61</v>
      </c>
      <c r="B9" s="3323"/>
      <c r="C9" s="3324"/>
      <c r="D9" s="44"/>
      <c r="E9" s="43">
        <f>SUM(E7)</f>
        <v>295097</v>
      </c>
      <c r="F9" s="43">
        <f>SUM(F7)</f>
        <v>295097</v>
      </c>
      <c r="G9" s="42">
        <f>SUM(G7)</f>
        <v>0</v>
      </c>
      <c r="H9" s="28"/>
      <c r="I9" s="41"/>
    </row>
    <row r="23" spans="5:5">
      <c r="E23" s="100"/>
    </row>
  </sheetData>
  <mergeCells count="15">
    <mergeCell ref="B7:D7"/>
    <mergeCell ref="G5:G6"/>
    <mergeCell ref="A7:A8"/>
    <mergeCell ref="A9:C9"/>
    <mergeCell ref="H1:I1"/>
    <mergeCell ref="A2:I2"/>
    <mergeCell ref="A4:A6"/>
    <mergeCell ref="B4:B6"/>
    <mergeCell ref="C4:C6"/>
    <mergeCell ref="E4:E6"/>
    <mergeCell ref="F4:G4"/>
    <mergeCell ref="H4:H6"/>
    <mergeCell ref="I4:I6"/>
    <mergeCell ref="F5:F6"/>
    <mergeCell ref="D4:D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K29"/>
  <sheetViews>
    <sheetView view="pageBreakPreview" topLeftCell="A4" zoomScaleNormal="100" zoomScaleSheetLayoutView="100" workbookViewId="0">
      <selection activeCell="N2" sqref="N2"/>
    </sheetView>
  </sheetViews>
  <sheetFormatPr defaultRowHeight="12.75"/>
  <cols>
    <col min="1" max="1" width="9.140625" style="1"/>
    <col min="2" max="2" width="11" style="1" customWidth="1"/>
    <col min="3" max="3" width="11.140625" style="1" customWidth="1"/>
    <col min="4" max="4" width="9.140625" style="1"/>
    <col min="5" max="5" width="10.5703125" style="1" customWidth="1"/>
    <col min="6" max="6" width="11.42578125" style="1" customWidth="1"/>
    <col min="7" max="7" width="12.85546875" style="1" customWidth="1"/>
    <col min="8" max="8" width="18.85546875" style="1" customWidth="1"/>
    <col min="9" max="9" width="12" style="1" customWidth="1"/>
    <col min="10" max="10" width="13" style="1" customWidth="1"/>
    <col min="11" max="11" width="15.140625" style="1" customWidth="1"/>
    <col min="12" max="257" width="9.140625" style="1"/>
    <col min="258" max="258" width="11" style="1" customWidth="1"/>
    <col min="259" max="259" width="11.140625" style="1" customWidth="1"/>
    <col min="260" max="260" width="9.140625" style="1"/>
    <col min="261" max="261" width="10.5703125" style="1" customWidth="1"/>
    <col min="262" max="262" width="11.42578125" style="1" customWidth="1"/>
    <col min="263" max="263" width="12.85546875" style="1" customWidth="1"/>
    <col min="264" max="264" width="18.85546875" style="1" customWidth="1"/>
    <col min="265" max="265" width="12" style="1" customWidth="1"/>
    <col min="266" max="266" width="13" style="1" customWidth="1"/>
    <col min="267" max="267" width="15.140625" style="1" customWidth="1"/>
    <col min="268" max="513" width="9.140625" style="1"/>
    <col min="514" max="514" width="11" style="1" customWidth="1"/>
    <col min="515" max="515" width="11.140625" style="1" customWidth="1"/>
    <col min="516" max="516" width="9.140625" style="1"/>
    <col min="517" max="517" width="10.5703125" style="1" customWidth="1"/>
    <col min="518" max="518" width="11.42578125" style="1" customWidth="1"/>
    <col min="519" max="519" width="12.85546875" style="1" customWidth="1"/>
    <col min="520" max="520" width="18.85546875" style="1" customWidth="1"/>
    <col min="521" max="521" width="12" style="1" customWidth="1"/>
    <col min="522" max="522" width="13" style="1" customWidth="1"/>
    <col min="523" max="523" width="15.140625" style="1" customWidth="1"/>
    <col min="524" max="769" width="9.140625" style="1"/>
    <col min="770" max="770" width="11" style="1" customWidth="1"/>
    <col min="771" max="771" width="11.140625" style="1" customWidth="1"/>
    <col min="772" max="772" width="9.140625" style="1"/>
    <col min="773" max="773" width="10.5703125" style="1" customWidth="1"/>
    <col min="774" max="774" width="11.42578125" style="1" customWidth="1"/>
    <col min="775" max="775" width="12.85546875" style="1" customWidth="1"/>
    <col min="776" max="776" width="18.85546875" style="1" customWidth="1"/>
    <col min="777" max="777" width="12" style="1" customWidth="1"/>
    <col min="778" max="778" width="13" style="1" customWidth="1"/>
    <col min="779" max="779" width="15.140625" style="1" customWidth="1"/>
    <col min="780" max="1025" width="9.140625" style="1"/>
    <col min="1026" max="1026" width="11" style="1" customWidth="1"/>
    <col min="1027" max="1027" width="11.140625" style="1" customWidth="1"/>
    <col min="1028" max="1028" width="9.140625" style="1"/>
    <col min="1029" max="1029" width="10.5703125" style="1" customWidth="1"/>
    <col min="1030" max="1030" width="11.42578125" style="1" customWidth="1"/>
    <col min="1031" max="1031" width="12.85546875" style="1" customWidth="1"/>
    <col min="1032" max="1032" width="18.85546875" style="1" customWidth="1"/>
    <col min="1033" max="1033" width="12" style="1" customWidth="1"/>
    <col min="1034" max="1034" width="13" style="1" customWidth="1"/>
    <col min="1035" max="1035" width="15.140625" style="1" customWidth="1"/>
    <col min="1036" max="1281" width="9.140625" style="1"/>
    <col min="1282" max="1282" width="11" style="1" customWidth="1"/>
    <col min="1283" max="1283" width="11.140625" style="1" customWidth="1"/>
    <col min="1284" max="1284" width="9.140625" style="1"/>
    <col min="1285" max="1285" width="10.5703125" style="1" customWidth="1"/>
    <col min="1286" max="1286" width="11.42578125" style="1" customWidth="1"/>
    <col min="1287" max="1287" width="12.85546875" style="1" customWidth="1"/>
    <col min="1288" max="1288" width="18.85546875" style="1" customWidth="1"/>
    <col min="1289" max="1289" width="12" style="1" customWidth="1"/>
    <col min="1290" max="1290" width="13" style="1" customWidth="1"/>
    <col min="1291" max="1291" width="15.140625" style="1" customWidth="1"/>
    <col min="1292" max="1537" width="9.140625" style="1"/>
    <col min="1538" max="1538" width="11" style="1" customWidth="1"/>
    <col min="1539" max="1539" width="11.140625" style="1" customWidth="1"/>
    <col min="1540" max="1540" width="9.140625" style="1"/>
    <col min="1541" max="1541" width="10.5703125" style="1" customWidth="1"/>
    <col min="1542" max="1542" width="11.42578125" style="1" customWidth="1"/>
    <col min="1543" max="1543" width="12.85546875" style="1" customWidth="1"/>
    <col min="1544" max="1544" width="18.85546875" style="1" customWidth="1"/>
    <col min="1545" max="1545" width="12" style="1" customWidth="1"/>
    <col min="1546" max="1546" width="13" style="1" customWidth="1"/>
    <col min="1547" max="1547" width="15.140625" style="1" customWidth="1"/>
    <col min="1548" max="1793" width="9.140625" style="1"/>
    <col min="1794" max="1794" width="11" style="1" customWidth="1"/>
    <col min="1795" max="1795" width="11.140625" style="1" customWidth="1"/>
    <col min="1796" max="1796" width="9.140625" style="1"/>
    <col min="1797" max="1797" width="10.5703125" style="1" customWidth="1"/>
    <col min="1798" max="1798" width="11.42578125" style="1" customWidth="1"/>
    <col min="1799" max="1799" width="12.85546875" style="1" customWidth="1"/>
    <col min="1800" max="1800" width="18.85546875" style="1" customWidth="1"/>
    <col min="1801" max="1801" width="12" style="1" customWidth="1"/>
    <col min="1802" max="1802" width="13" style="1" customWidth="1"/>
    <col min="1803" max="1803" width="15.140625" style="1" customWidth="1"/>
    <col min="1804" max="2049" width="9.140625" style="1"/>
    <col min="2050" max="2050" width="11" style="1" customWidth="1"/>
    <col min="2051" max="2051" width="11.140625" style="1" customWidth="1"/>
    <col min="2052" max="2052" width="9.140625" style="1"/>
    <col min="2053" max="2053" width="10.5703125" style="1" customWidth="1"/>
    <col min="2054" max="2054" width="11.42578125" style="1" customWidth="1"/>
    <col min="2055" max="2055" width="12.85546875" style="1" customWidth="1"/>
    <col min="2056" max="2056" width="18.85546875" style="1" customWidth="1"/>
    <col min="2057" max="2057" width="12" style="1" customWidth="1"/>
    <col min="2058" max="2058" width="13" style="1" customWidth="1"/>
    <col min="2059" max="2059" width="15.140625" style="1" customWidth="1"/>
    <col min="2060" max="2305" width="9.140625" style="1"/>
    <col min="2306" max="2306" width="11" style="1" customWidth="1"/>
    <col min="2307" max="2307" width="11.140625" style="1" customWidth="1"/>
    <col min="2308" max="2308" width="9.140625" style="1"/>
    <col min="2309" max="2309" width="10.5703125" style="1" customWidth="1"/>
    <col min="2310" max="2310" width="11.42578125" style="1" customWidth="1"/>
    <col min="2311" max="2311" width="12.85546875" style="1" customWidth="1"/>
    <col min="2312" max="2312" width="18.85546875" style="1" customWidth="1"/>
    <col min="2313" max="2313" width="12" style="1" customWidth="1"/>
    <col min="2314" max="2314" width="13" style="1" customWidth="1"/>
    <col min="2315" max="2315" width="15.140625" style="1" customWidth="1"/>
    <col min="2316" max="2561" width="9.140625" style="1"/>
    <col min="2562" max="2562" width="11" style="1" customWidth="1"/>
    <col min="2563" max="2563" width="11.140625" style="1" customWidth="1"/>
    <col min="2564" max="2564" width="9.140625" style="1"/>
    <col min="2565" max="2565" width="10.5703125" style="1" customWidth="1"/>
    <col min="2566" max="2566" width="11.42578125" style="1" customWidth="1"/>
    <col min="2567" max="2567" width="12.85546875" style="1" customWidth="1"/>
    <col min="2568" max="2568" width="18.85546875" style="1" customWidth="1"/>
    <col min="2569" max="2569" width="12" style="1" customWidth="1"/>
    <col min="2570" max="2570" width="13" style="1" customWidth="1"/>
    <col min="2571" max="2571" width="15.140625" style="1" customWidth="1"/>
    <col min="2572" max="2817" width="9.140625" style="1"/>
    <col min="2818" max="2818" width="11" style="1" customWidth="1"/>
    <col min="2819" max="2819" width="11.140625" style="1" customWidth="1"/>
    <col min="2820" max="2820" width="9.140625" style="1"/>
    <col min="2821" max="2821" width="10.5703125" style="1" customWidth="1"/>
    <col min="2822" max="2822" width="11.42578125" style="1" customWidth="1"/>
    <col min="2823" max="2823" width="12.85546875" style="1" customWidth="1"/>
    <col min="2824" max="2824" width="18.85546875" style="1" customWidth="1"/>
    <col min="2825" max="2825" width="12" style="1" customWidth="1"/>
    <col min="2826" max="2826" width="13" style="1" customWidth="1"/>
    <col min="2827" max="2827" width="15.140625" style="1" customWidth="1"/>
    <col min="2828" max="3073" width="9.140625" style="1"/>
    <col min="3074" max="3074" width="11" style="1" customWidth="1"/>
    <col min="3075" max="3075" width="11.140625" style="1" customWidth="1"/>
    <col min="3076" max="3076" width="9.140625" style="1"/>
    <col min="3077" max="3077" width="10.5703125" style="1" customWidth="1"/>
    <col min="3078" max="3078" width="11.42578125" style="1" customWidth="1"/>
    <col min="3079" max="3079" width="12.85546875" style="1" customWidth="1"/>
    <col min="3080" max="3080" width="18.85546875" style="1" customWidth="1"/>
    <col min="3081" max="3081" width="12" style="1" customWidth="1"/>
    <col min="3082" max="3082" width="13" style="1" customWidth="1"/>
    <col min="3083" max="3083" width="15.140625" style="1" customWidth="1"/>
    <col min="3084" max="3329" width="9.140625" style="1"/>
    <col min="3330" max="3330" width="11" style="1" customWidth="1"/>
    <col min="3331" max="3331" width="11.140625" style="1" customWidth="1"/>
    <col min="3332" max="3332" width="9.140625" style="1"/>
    <col min="3333" max="3333" width="10.5703125" style="1" customWidth="1"/>
    <col min="3334" max="3334" width="11.42578125" style="1" customWidth="1"/>
    <col min="3335" max="3335" width="12.85546875" style="1" customWidth="1"/>
    <col min="3336" max="3336" width="18.85546875" style="1" customWidth="1"/>
    <col min="3337" max="3337" width="12" style="1" customWidth="1"/>
    <col min="3338" max="3338" width="13" style="1" customWidth="1"/>
    <col min="3339" max="3339" width="15.140625" style="1" customWidth="1"/>
    <col min="3340" max="3585" width="9.140625" style="1"/>
    <col min="3586" max="3586" width="11" style="1" customWidth="1"/>
    <col min="3587" max="3587" width="11.140625" style="1" customWidth="1"/>
    <col min="3588" max="3588" width="9.140625" style="1"/>
    <col min="3589" max="3589" width="10.5703125" style="1" customWidth="1"/>
    <col min="3590" max="3590" width="11.42578125" style="1" customWidth="1"/>
    <col min="3591" max="3591" width="12.85546875" style="1" customWidth="1"/>
    <col min="3592" max="3592" width="18.85546875" style="1" customWidth="1"/>
    <col min="3593" max="3593" width="12" style="1" customWidth="1"/>
    <col min="3594" max="3594" width="13" style="1" customWidth="1"/>
    <col min="3595" max="3595" width="15.140625" style="1" customWidth="1"/>
    <col min="3596" max="3841" width="9.140625" style="1"/>
    <col min="3842" max="3842" width="11" style="1" customWidth="1"/>
    <col min="3843" max="3843" width="11.140625" style="1" customWidth="1"/>
    <col min="3844" max="3844" width="9.140625" style="1"/>
    <col min="3845" max="3845" width="10.5703125" style="1" customWidth="1"/>
    <col min="3846" max="3846" width="11.42578125" style="1" customWidth="1"/>
    <col min="3847" max="3847" width="12.85546875" style="1" customWidth="1"/>
    <col min="3848" max="3848" width="18.85546875" style="1" customWidth="1"/>
    <col min="3849" max="3849" width="12" style="1" customWidth="1"/>
    <col min="3850" max="3850" width="13" style="1" customWidth="1"/>
    <col min="3851" max="3851" width="15.140625" style="1" customWidth="1"/>
    <col min="3852" max="4097" width="9.140625" style="1"/>
    <col min="4098" max="4098" width="11" style="1" customWidth="1"/>
    <col min="4099" max="4099" width="11.140625" style="1" customWidth="1"/>
    <col min="4100" max="4100" width="9.140625" style="1"/>
    <col min="4101" max="4101" width="10.5703125" style="1" customWidth="1"/>
    <col min="4102" max="4102" width="11.42578125" style="1" customWidth="1"/>
    <col min="4103" max="4103" width="12.85546875" style="1" customWidth="1"/>
    <col min="4104" max="4104" width="18.85546875" style="1" customWidth="1"/>
    <col min="4105" max="4105" width="12" style="1" customWidth="1"/>
    <col min="4106" max="4106" width="13" style="1" customWidth="1"/>
    <col min="4107" max="4107" width="15.140625" style="1" customWidth="1"/>
    <col min="4108" max="4353" width="9.140625" style="1"/>
    <col min="4354" max="4354" width="11" style="1" customWidth="1"/>
    <col min="4355" max="4355" width="11.140625" style="1" customWidth="1"/>
    <col min="4356" max="4356" width="9.140625" style="1"/>
    <col min="4357" max="4357" width="10.5703125" style="1" customWidth="1"/>
    <col min="4358" max="4358" width="11.42578125" style="1" customWidth="1"/>
    <col min="4359" max="4359" width="12.85546875" style="1" customWidth="1"/>
    <col min="4360" max="4360" width="18.85546875" style="1" customWidth="1"/>
    <col min="4361" max="4361" width="12" style="1" customWidth="1"/>
    <col min="4362" max="4362" width="13" style="1" customWidth="1"/>
    <col min="4363" max="4363" width="15.140625" style="1" customWidth="1"/>
    <col min="4364" max="4609" width="9.140625" style="1"/>
    <col min="4610" max="4610" width="11" style="1" customWidth="1"/>
    <col min="4611" max="4611" width="11.140625" style="1" customWidth="1"/>
    <col min="4612" max="4612" width="9.140625" style="1"/>
    <col min="4613" max="4613" width="10.5703125" style="1" customWidth="1"/>
    <col min="4614" max="4614" width="11.42578125" style="1" customWidth="1"/>
    <col min="4615" max="4615" width="12.85546875" style="1" customWidth="1"/>
    <col min="4616" max="4616" width="18.85546875" style="1" customWidth="1"/>
    <col min="4617" max="4617" width="12" style="1" customWidth="1"/>
    <col min="4618" max="4618" width="13" style="1" customWidth="1"/>
    <col min="4619" max="4619" width="15.140625" style="1" customWidth="1"/>
    <col min="4620" max="4865" width="9.140625" style="1"/>
    <col min="4866" max="4866" width="11" style="1" customWidth="1"/>
    <col min="4867" max="4867" width="11.140625" style="1" customWidth="1"/>
    <col min="4868" max="4868" width="9.140625" style="1"/>
    <col min="4869" max="4869" width="10.5703125" style="1" customWidth="1"/>
    <col min="4870" max="4870" width="11.42578125" style="1" customWidth="1"/>
    <col min="4871" max="4871" width="12.85546875" style="1" customWidth="1"/>
    <col min="4872" max="4872" width="18.85546875" style="1" customWidth="1"/>
    <col min="4873" max="4873" width="12" style="1" customWidth="1"/>
    <col min="4874" max="4874" width="13" style="1" customWidth="1"/>
    <col min="4875" max="4875" width="15.140625" style="1" customWidth="1"/>
    <col min="4876" max="5121" width="9.140625" style="1"/>
    <col min="5122" max="5122" width="11" style="1" customWidth="1"/>
    <col min="5123" max="5123" width="11.140625" style="1" customWidth="1"/>
    <col min="5124" max="5124" width="9.140625" style="1"/>
    <col min="5125" max="5125" width="10.5703125" style="1" customWidth="1"/>
    <col min="5126" max="5126" width="11.42578125" style="1" customWidth="1"/>
    <col min="5127" max="5127" width="12.85546875" style="1" customWidth="1"/>
    <col min="5128" max="5128" width="18.85546875" style="1" customWidth="1"/>
    <col min="5129" max="5129" width="12" style="1" customWidth="1"/>
    <col min="5130" max="5130" width="13" style="1" customWidth="1"/>
    <col min="5131" max="5131" width="15.140625" style="1" customWidth="1"/>
    <col min="5132" max="5377" width="9.140625" style="1"/>
    <col min="5378" max="5378" width="11" style="1" customWidth="1"/>
    <col min="5379" max="5379" width="11.140625" style="1" customWidth="1"/>
    <col min="5380" max="5380" width="9.140625" style="1"/>
    <col min="5381" max="5381" width="10.5703125" style="1" customWidth="1"/>
    <col min="5382" max="5382" width="11.42578125" style="1" customWidth="1"/>
    <col min="5383" max="5383" width="12.85546875" style="1" customWidth="1"/>
    <col min="5384" max="5384" width="18.85546875" style="1" customWidth="1"/>
    <col min="5385" max="5385" width="12" style="1" customWidth="1"/>
    <col min="5386" max="5386" width="13" style="1" customWidth="1"/>
    <col min="5387" max="5387" width="15.140625" style="1" customWidth="1"/>
    <col min="5388" max="5633" width="9.140625" style="1"/>
    <col min="5634" max="5634" width="11" style="1" customWidth="1"/>
    <col min="5635" max="5635" width="11.140625" style="1" customWidth="1"/>
    <col min="5636" max="5636" width="9.140625" style="1"/>
    <col min="5637" max="5637" width="10.5703125" style="1" customWidth="1"/>
    <col min="5638" max="5638" width="11.42578125" style="1" customWidth="1"/>
    <col min="5639" max="5639" width="12.85546875" style="1" customWidth="1"/>
    <col min="5640" max="5640" width="18.85546875" style="1" customWidth="1"/>
    <col min="5641" max="5641" width="12" style="1" customWidth="1"/>
    <col min="5642" max="5642" width="13" style="1" customWidth="1"/>
    <col min="5643" max="5643" width="15.140625" style="1" customWidth="1"/>
    <col min="5644" max="5889" width="9.140625" style="1"/>
    <col min="5890" max="5890" width="11" style="1" customWidth="1"/>
    <col min="5891" max="5891" width="11.140625" style="1" customWidth="1"/>
    <col min="5892" max="5892" width="9.140625" style="1"/>
    <col min="5893" max="5893" width="10.5703125" style="1" customWidth="1"/>
    <col min="5894" max="5894" width="11.42578125" style="1" customWidth="1"/>
    <col min="5895" max="5895" width="12.85546875" style="1" customWidth="1"/>
    <col min="5896" max="5896" width="18.85546875" style="1" customWidth="1"/>
    <col min="5897" max="5897" width="12" style="1" customWidth="1"/>
    <col min="5898" max="5898" width="13" style="1" customWidth="1"/>
    <col min="5899" max="5899" width="15.140625" style="1" customWidth="1"/>
    <col min="5900" max="6145" width="9.140625" style="1"/>
    <col min="6146" max="6146" width="11" style="1" customWidth="1"/>
    <col min="6147" max="6147" width="11.140625" style="1" customWidth="1"/>
    <col min="6148" max="6148" width="9.140625" style="1"/>
    <col min="6149" max="6149" width="10.5703125" style="1" customWidth="1"/>
    <col min="6150" max="6150" width="11.42578125" style="1" customWidth="1"/>
    <col min="6151" max="6151" width="12.85546875" style="1" customWidth="1"/>
    <col min="6152" max="6152" width="18.85546875" style="1" customWidth="1"/>
    <col min="6153" max="6153" width="12" style="1" customWidth="1"/>
    <col min="6154" max="6154" width="13" style="1" customWidth="1"/>
    <col min="6155" max="6155" width="15.140625" style="1" customWidth="1"/>
    <col min="6156" max="6401" width="9.140625" style="1"/>
    <col min="6402" max="6402" width="11" style="1" customWidth="1"/>
    <col min="6403" max="6403" width="11.140625" style="1" customWidth="1"/>
    <col min="6404" max="6404" width="9.140625" style="1"/>
    <col min="6405" max="6405" width="10.5703125" style="1" customWidth="1"/>
    <col min="6406" max="6406" width="11.42578125" style="1" customWidth="1"/>
    <col min="6407" max="6407" width="12.85546875" style="1" customWidth="1"/>
    <col min="6408" max="6408" width="18.85546875" style="1" customWidth="1"/>
    <col min="6409" max="6409" width="12" style="1" customWidth="1"/>
    <col min="6410" max="6410" width="13" style="1" customWidth="1"/>
    <col min="6411" max="6411" width="15.140625" style="1" customWidth="1"/>
    <col min="6412" max="6657" width="9.140625" style="1"/>
    <col min="6658" max="6658" width="11" style="1" customWidth="1"/>
    <col min="6659" max="6659" width="11.140625" style="1" customWidth="1"/>
    <col min="6660" max="6660" width="9.140625" style="1"/>
    <col min="6661" max="6661" width="10.5703125" style="1" customWidth="1"/>
    <col min="6662" max="6662" width="11.42578125" style="1" customWidth="1"/>
    <col min="6663" max="6663" width="12.85546875" style="1" customWidth="1"/>
    <col min="6664" max="6664" width="18.85546875" style="1" customWidth="1"/>
    <col min="6665" max="6665" width="12" style="1" customWidth="1"/>
    <col min="6666" max="6666" width="13" style="1" customWidth="1"/>
    <col min="6667" max="6667" width="15.140625" style="1" customWidth="1"/>
    <col min="6668" max="6913" width="9.140625" style="1"/>
    <col min="6914" max="6914" width="11" style="1" customWidth="1"/>
    <col min="6915" max="6915" width="11.140625" style="1" customWidth="1"/>
    <col min="6916" max="6916" width="9.140625" style="1"/>
    <col min="6917" max="6917" width="10.5703125" style="1" customWidth="1"/>
    <col min="6918" max="6918" width="11.42578125" style="1" customWidth="1"/>
    <col min="6919" max="6919" width="12.85546875" style="1" customWidth="1"/>
    <col min="6920" max="6920" width="18.85546875" style="1" customWidth="1"/>
    <col min="6921" max="6921" width="12" style="1" customWidth="1"/>
    <col min="6922" max="6922" width="13" style="1" customWidth="1"/>
    <col min="6923" max="6923" width="15.140625" style="1" customWidth="1"/>
    <col min="6924" max="7169" width="9.140625" style="1"/>
    <col min="7170" max="7170" width="11" style="1" customWidth="1"/>
    <col min="7171" max="7171" width="11.140625" style="1" customWidth="1"/>
    <col min="7172" max="7172" width="9.140625" style="1"/>
    <col min="7173" max="7173" width="10.5703125" style="1" customWidth="1"/>
    <col min="7174" max="7174" width="11.42578125" style="1" customWidth="1"/>
    <col min="7175" max="7175" width="12.85546875" style="1" customWidth="1"/>
    <col min="7176" max="7176" width="18.85546875" style="1" customWidth="1"/>
    <col min="7177" max="7177" width="12" style="1" customWidth="1"/>
    <col min="7178" max="7178" width="13" style="1" customWidth="1"/>
    <col min="7179" max="7179" width="15.140625" style="1" customWidth="1"/>
    <col min="7180" max="7425" width="9.140625" style="1"/>
    <col min="7426" max="7426" width="11" style="1" customWidth="1"/>
    <col min="7427" max="7427" width="11.140625" style="1" customWidth="1"/>
    <col min="7428" max="7428" width="9.140625" style="1"/>
    <col min="7429" max="7429" width="10.5703125" style="1" customWidth="1"/>
    <col min="7430" max="7430" width="11.42578125" style="1" customWidth="1"/>
    <col min="7431" max="7431" width="12.85546875" style="1" customWidth="1"/>
    <col min="7432" max="7432" width="18.85546875" style="1" customWidth="1"/>
    <col min="7433" max="7433" width="12" style="1" customWidth="1"/>
    <col min="7434" max="7434" width="13" style="1" customWidth="1"/>
    <col min="7435" max="7435" width="15.140625" style="1" customWidth="1"/>
    <col min="7436" max="7681" width="9.140625" style="1"/>
    <col min="7682" max="7682" width="11" style="1" customWidth="1"/>
    <col min="7683" max="7683" width="11.140625" style="1" customWidth="1"/>
    <col min="7684" max="7684" width="9.140625" style="1"/>
    <col min="7685" max="7685" width="10.5703125" style="1" customWidth="1"/>
    <col min="7686" max="7686" width="11.42578125" style="1" customWidth="1"/>
    <col min="7687" max="7687" width="12.85546875" style="1" customWidth="1"/>
    <col min="7688" max="7688" width="18.85546875" style="1" customWidth="1"/>
    <col min="7689" max="7689" width="12" style="1" customWidth="1"/>
    <col min="7690" max="7690" width="13" style="1" customWidth="1"/>
    <col min="7691" max="7691" width="15.140625" style="1" customWidth="1"/>
    <col min="7692" max="7937" width="9.140625" style="1"/>
    <col min="7938" max="7938" width="11" style="1" customWidth="1"/>
    <col min="7939" max="7939" width="11.140625" style="1" customWidth="1"/>
    <col min="7940" max="7940" width="9.140625" style="1"/>
    <col min="7941" max="7941" width="10.5703125" style="1" customWidth="1"/>
    <col min="7942" max="7942" width="11.42578125" style="1" customWidth="1"/>
    <col min="7943" max="7943" width="12.85546875" style="1" customWidth="1"/>
    <col min="7944" max="7944" width="18.85546875" style="1" customWidth="1"/>
    <col min="7945" max="7945" width="12" style="1" customWidth="1"/>
    <col min="7946" max="7946" width="13" style="1" customWidth="1"/>
    <col min="7947" max="7947" width="15.140625" style="1" customWidth="1"/>
    <col min="7948" max="8193" width="9.140625" style="1"/>
    <col min="8194" max="8194" width="11" style="1" customWidth="1"/>
    <col min="8195" max="8195" width="11.140625" style="1" customWidth="1"/>
    <col min="8196" max="8196" width="9.140625" style="1"/>
    <col min="8197" max="8197" width="10.5703125" style="1" customWidth="1"/>
    <col min="8198" max="8198" width="11.42578125" style="1" customWidth="1"/>
    <col min="8199" max="8199" width="12.85546875" style="1" customWidth="1"/>
    <col min="8200" max="8200" width="18.85546875" style="1" customWidth="1"/>
    <col min="8201" max="8201" width="12" style="1" customWidth="1"/>
    <col min="8202" max="8202" width="13" style="1" customWidth="1"/>
    <col min="8203" max="8203" width="15.140625" style="1" customWidth="1"/>
    <col min="8204" max="8449" width="9.140625" style="1"/>
    <col min="8450" max="8450" width="11" style="1" customWidth="1"/>
    <col min="8451" max="8451" width="11.140625" style="1" customWidth="1"/>
    <col min="8452" max="8452" width="9.140625" style="1"/>
    <col min="8453" max="8453" width="10.5703125" style="1" customWidth="1"/>
    <col min="8454" max="8454" width="11.42578125" style="1" customWidth="1"/>
    <col min="8455" max="8455" width="12.85546875" style="1" customWidth="1"/>
    <col min="8456" max="8456" width="18.85546875" style="1" customWidth="1"/>
    <col min="8457" max="8457" width="12" style="1" customWidth="1"/>
    <col min="8458" max="8458" width="13" style="1" customWidth="1"/>
    <col min="8459" max="8459" width="15.140625" style="1" customWidth="1"/>
    <col min="8460" max="8705" width="9.140625" style="1"/>
    <col min="8706" max="8706" width="11" style="1" customWidth="1"/>
    <col min="8707" max="8707" width="11.140625" style="1" customWidth="1"/>
    <col min="8708" max="8708" width="9.140625" style="1"/>
    <col min="8709" max="8709" width="10.5703125" style="1" customWidth="1"/>
    <col min="8710" max="8710" width="11.42578125" style="1" customWidth="1"/>
    <col min="8711" max="8711" width="12.85546875" style="1" customWidth="1"/>
    <col min="8712" max="8712" width="18.85546875" style="1" customWidth="1"/>
    <col min="8713" max="8713" width="12" style="1" customWidth="1"/>
    <col min="8714" max="8714" width="13" style="1" customWidth="1"/>
    <col min="8715" max="8715" width="15.140625" style="1" customWidth="1"/>
    <col min="8716" max="8961" width="9.140625" style="1"/>
    <col min="8962" max="8962" width="11" style="1" customWidth="1"/>
    <col min="8963" max="8963" width="11.140625" style="1" customWidth="1"/>
    <col min="8964" max="8964" width="9.140625" style="1"/>
    <col min="8965" max="8965" width="10.5703125" style="1" customWidth="1"/>
    <col min="8966" max="8966" width="11.42578125" style="1" customWidth="1"/>
    <col min="8967" max="8967" width="12.85546875" style="1" customWidth="1"/>
    <col min="8968" max="8968" width="18.85546875" style="1" customWidth="1"/>
    <col min="8969" max="8969" width="12" style="1" customWidth="1"/>
    <col min="8970" max="8970" width="13" style="1" customWidth="1"/>
    <col min="8971" max="8971" width="15.140625" style="1" customWidth="1"/>
    <col min="8972" max="9217" width="9.140625" style="1"/>
    <col min="9218" max="9218" width="11" style="1" customWidth="1"/>
    <col min="9219" max="9219" width="11.140625" style="1" customWidth="1"/>
    <col min="9220" max="9220" width="9.140625" style="1"/>
    <col min="9221" max="9221" width="10.5703125" style="1" customWidth="1"/>
    <col min="9222" max="9222" width="11.42578125" style="1" customWidth="1"/>
    <col min="9223" max="9223" width="12.85546875" style="1" customWidth="1"/>
    <col min="9224" max="9224" width="18.85546875" style="1" customWidth="1"/>
    <col min="9225" max="9225" width="12" style="1" customWidth="1"/>
    <col min="9226" max="9226" width="13" style="1" customWidth="1"/>
    <col min="9227" max="9227" width="15.140625" style="1" customWidth="1"/>
    <col min="9228" max="9473" width="9.140625" style="1"/>
    <col min="9474" max="9474" width="11" style="1" customWidth="1"/>
    <col min="9475" max="9475" width="11.140625" style="1" customWidth="1"/>
    <col min="9476" max="9476" width="9.140625" style="1"/>
    <col min="9477" max="9477" width="10.5703125" style="1" customWidth="1"/>
    <col min="9478" max="9478" width="11.42578125" style="1" customWidth="1"/>
    <col min="9479" max="9479" width="12.85546875" style="1" customWidth="1"/>
    <col min="9480" max="9480" width="18.85546875" style="1" customWidth="1"/>
    <col min="9481" max="9481" width="12" style="1" customWidth="1"/>
    <col min="9482" max="9482" width="13" style="1" customWidth="1"/>
    <col min="9483" max="9483" width="15.140625" style="1" customWidth="1"/>
    <col min="9484" max="9729" width="9.140625" style="1"/>
    <col min="9730" max="9730" width="11" style="1" customWidth="1"/>
    <col min="9731" max="9731" width="11.140625" style="1" customWidth="1"/>
    <col min="9732" max="9732" width="9.140625" style="1"/>
    <col min="9733" max="9733" width="10.5703125" style="1" customWidth="1"/>
    <col min="9734" max="9734" width="11.42578125" style="1" customWidth="1"/>
    <col min="9735" max="9735" width="12.85546875" style="1" customWidth="1"/>
    <col min="9736" max="9736" width="18.85546875" style="1" customWidth="1"/>
    <col min="9737" max="9737" width="12" style="1" customWidth="1"/>
    <col min="9738" max="9738" width="13" style="1" customWidth="1"/>
    <col min="9739" max="9739" width="15.140625" style="1" customWidth="1"/>
    <col min="9740" max="9985" width="9.140625" style="1"/>
    <col min="9986" max="9986" width="11" style="1" customWidth="1"/>
    <col min="9987" max="9987" width="11.140625" style="1" customWidth="1"/>
    <col min="9988" max="9988" width="9.140625" style="1"/>
    <col min="9989" max="9989" width="10.5703125" style="1" customWidth="1"/>
    <col min="9990" max="9990" width="11.42578125" style="1" customWidth="1"/>
    <col min="9991" max="9991" width="12.85546875" style="1" customWidth="1"/>
    <col min="9992" max="9992" width="18.85546875" style="1" customWidth="1"/>
    <col min="9993" max="9993" width="12" style="1" customWidth="1"/>
    <col min="9994" max="9994" width="13" style="1" customWidth="1"/>
    <col min="9995" max="9995" width="15.140625" style="1" customWidth="1"/>
    <col min="9996" max="10241" width="9.140625" style="1"/>
    <col min="10242" max="10242" width="11" style="1" customWidth="1"/>
    <col min="10243" max="10243" width="11.140625" style="1" customWidth="1"/>
    <col min="10244" max="10244" width="9.140625" style="1"/>
    <col min="10245" max="10245" width="10.5703125" style="1" customWidth="1"/>
    <col min="10246" max="10246" width="11.42578125" style="1" customWidth="1"/>
    <col min="10247" max="10247" width="12.85546875" style="1" customWidth="1"/>
    <col min="10248" max="10248" width="18.85546875" style="1" customWidth="1"/>
    <col min="10249" max="10249" width="12" style="1" customWidth="1"/>
    <col min="10250" max="10250" width="13" style="1" customWidth="1"/>
    <col min="10251" max="10251" width="15.140625" style="1" customWidth="1"/>
    <col min="10252" max="10497" width="9.140625" style="1"/>
    <col min="10498" max="10498" width="11" style="1" customWidth="1"/>
    <col min="10499" max="10499" width="11.140625" style="1" customWidth="1"/>
    <col min="10500" max="10500" width="9.140625" style="1"/>
    <col min="10501" max="10501" width="10.5703125" style="1" customWidth="1"/>
    <col min="10502" max="10502" width="11.42578125" style="1" customWidth="1"/>
    <col min="10503" max="10503" width="12.85546875" style="1" customWidth="1"/>
    <col min="10504" max="10504" width="18.85546875" style="1" customWidth="1"/>
    <col min="10505" max="10505" width="12" style="1" customWidth="1"/>
    <col min="10506" max="10506" width="13" style="1" customWidth="1"/>
    <col min="10507" max="10507" width="15.140625" style="1" customWidth="1"/>
    <col min="10508" max="10753" width="9.140625" style="1"/>
    <col min="10754" max="10754" width="11" style="1" customWidth="1"/>
    <col min="10755" max="10755" width="11.140625" style="1" customWidth="1"/>
    <col min="10756" max="10756" width="9.140625" style="1"/>
    <col min="10757" max="10757" width="10.5703125" style="1" customWidth="1"/>
    <col min="10758" max="10758" width="11.42578125" style="1" customWidth="1"/>
    <col min="10759" max="10759" width="12.85546875" style="1" customWidth="1"/>
    <col min="10760" max="10760" width="18.85546875" style="1" customWidth="1"/>
    <col min="10761" max="10761" width="12" style="1" customWidth="1"/>
    <col min="10762" max="10762" width="13" style="1" customWidth="1"/>
    <col min="10763" max="10763" width="15.140625" style="1" customWidth="1"/>
    <col min="10764" max="11009" width="9.140625" style="1"/>
    <col min="11010" max="11010" width="11" style="1" customWidth="1"/>
    <col min="11011" max="11011" width="11.140625" style="1" customWidth="1"/>
    <col min="11012" max="11012" width="9.140625" style="1"/>
    <col min="11013" max="11013" width="10.5703125" style="1" customWidth="1"/>
    <col min="11014" max="11014" width="11.42578125" style="1" customWidth="1"/>
    <col min="11015" max="11015" width="12.85546875" style="1" customWidth="1"/>
    <col min="11016" max="11016" width="18.85546875" style="1" customWidth="1"/>
    <col min="11017" max="11017" width="12" style="1" customWidth="1"/>
    <col min="11018" max="11018" width="13" style="1" customWidth="1"/>
    <col min="11019" max="11019" width="15.140625" style="1" customWidth="1"/>
    <col min="11020" max="11265" width="9.140625" style="1"/>
    <col min="11266" max="11266" width="11" style="1" customWidth="1"/>
    <col min="11267" max="11267" width="11.140625" style="1" customWidth="1"/>
    <col min="11268" max="11268" width="9.140625" style="1"/>
    <col min="11269" max="11269" width="10.5703125" style="1" customWidth="1"/>
    <col min="11270" max="11270" width="11.42578125" style="1" customWidth="1"/>
    <col min="11271" max="11271" width="12.85546875" style="1" customWidth="1"/>
    <col min="11272" max="11272" width="18.85546875" style="1" customWidth="1"/>
    <col min="11273" max="11273" width="12" style="1" customWidth="1"/>
    <col min="11274" max="11274" width="13" style="1" customWidth="1"/>
    <col min="11275" max="11275" width="15.140625" style="1" customWidth="1"/>
    <col min="11276" max="11521" width="9.140625" style="1"/>
    <col min="11522" max="11522" width="11" style="1" customWidth="1"/>
    <col min="11523" max="11523" width="11.140625" style="1" customWidth="1"/>
    <col min="11524" max="11524" width="9.140625" style="1"/>
    <col min="11525" max="11525" width="10.5703125" style="1" customWidth="1"/>
    <col min="11526" max="11526" width="11.42578125" style="1" customWidth="1"/>
    <col min="11527" max="11527" width="12.85546875" style="1" customWidth="1"/>
    <col min="11528" max="11528" width="18.85546875" style="1" customWidth="1"/>
    <col min="11529" max="11529" width="12" style="1" customWidth="1"/>
    <col min="11530" max="11530" width="13" style="1" customWidth="1"/>
    <col min="11531" max="11531" width="15.140625" style="1" customWidth="1"/>
    <col min="11532" max="11777" width="9.140625" style="1"/>
    <col min="11778" max="11778" width="11" style="1" customWidth="1"/>
    <col min="11779" max="11779" width="11.140625" style="1" customWidth="1"/>
    <col min="11780" max="11780" width="9.140625" style="1"/>
    <col min="11781" max="11781" width="10.5703125" style="1" customWidth="1"/>
    <col min="11782" max="11782" width="11.42578125" style="1" customWidth="1"/>
    <col min="11783" max="11783" width="12.85546875" style="1" customWidth="1"/>
    <col min="11784" max="11784" width="18.85546875" style="1" customWidth="1"/>
    <col min="11785" max="11785" width="12" style="1" customWidth="1"/>
    <col min="11786" max="11786" width="13" style="1" customWidth="1"/>
    <col min="11787" max="11787" width="15.140625" style="1" customWidth="1"/>
    <col min="11788" max="12033" width="9.140625" style="1"/>
    <col min="12034" max="12034" width="11" style="1" customWidth="1"/>
    <col min="12035" max="12035" width="11.140625" style="1" customWidth="1"/>
    <col min="12036" max="12036" width="9.140625" style="1"/>
    <col min="12037" max="12037" width="10.5703125" style="1" customWidth="1"/>
    <col min="12038" max="12038" width="11.42578125" style="1" customWidth="1"/>
    <col min="12039" max="12039" width="12.85546875" style="1" customWidth="1"/>
    <col min="12040" max="12040" width="18.85546875" style="1" customWidth="1"/>
    <col min="12041" max="12041" width="12" style="1" customWidth="1"/>
    <col min="12042" max="12042" width="13" style="1" customWidth="1"/>
    <col min="12043" max="12043" width="15.140625" style="1" customWidth="1"/>
    <col min="12044" max="12289" width="9.140625" style="1"/>
    <col min="12290" max="12290" width="11" style="1" customWidth="1"/>
    <col min="12291" max="12291" width="11.140625" style="1" customWidth="1"/>
    <col min="12292" max="12292" width="9.140625" style="1"/>
    <col min="12293" max="12293" width="10.5703125" style="1" customWidth="1"/>
    <col min="12294" max="12294" width="11.42578125" style="1" customWidth="1"/>
    <col min="12295" max="12295" width="12.85546875" style="1" customWidth="1"/>
    <col min="12296" max="12296" width="18.85546875" style="1" customWidth="1"/>
    <col min="12297" max="12297" width="12" style="1" customWidth="1"/>
    <col min="12298" max="12298" width="13" style="1" customWidth="1"/>
    <col min="12299" max="12299" width="15.140625" style="1" customWidth="1"/>
    <col min="12300" max="12545" width="9.140625" style="1"/>
    <col min="12546" max="12546" width="11" style="1" customWidth="1"/>
    <col min="12547" max="12547" width="11.140625" style="1" customWidth="1"/>
    <col min="12548" max="12548" width="9.140625" style="1"/>
    <col min="12549" max="12549" width="10.5703125" style="1" customWidth="1"/>
    <col min="12550" max="12550" width="11.42578125" style="1" customWidth="1"/>
    <col min="12551" max="12551" width="12.85546875" style="1" customWidth="1"/>
    <col min="12552" max="12552" width="18.85546875" style="1" customWidth="1"/>
    <col min="12553" max="12553" width="12" style="1" customWidth="1"/>
    <col min="12554" max="12554" width="13" style="1" customWidth="1"/>
    <col min="12555" max="12555" width="15.140625" style="1" customWidth="1"/>
    <col min="12556" max="12801" width="9.140625" style="1"/>
    <col min="12802" max="12802" width="11" style="1" customWidth="1"/>
    <col min="12803" max="12803" width="11.140625" style="1" customWidth="1"/>
    <col min="12804" max="12804" width="9.140625" style="1"/>
    <col min="12805" max="12805" width="10.5703125" style="1" customWidth="1"/>
    <col min="12806" max="12806" width="11.42578125" style="1" customWidth="1"/>
    <col min="12807" max="12807" width="12.85546875" style="1" customWidth="1"/>
    <col min="12808" max="12808" width="18.85546875" style="1" customWidth="1"/>
    <col min="12809" max="12809" width="12" style="1" customWidth="1"/>
    <col min="12810" max="12810" width="13" style="1" customWidth="1"/>
    <col min="12811" max="12811" width="15.140625" style="1" customWidth="1"/>
    <col min="12812" max="13057" width="9.140625" style="1"/>
    <col min="13058" max="13058" width="11" style="1" customWidth="1"/>
    <col min="13059" max="13059" width="11.140625" style="1" customWidth="1"/>
    <col min="13060" max="13060" width="9.140625" style="1"/>
    <col min="13061" max="13061" width="10.5703125" style="1" customWidth="1"/>
    <col min="13062" max="13062" width="11.42578125" style="1" customWidth="1"/>
    <col min="13063" max="13063" width="12.85546875" style="1" customWidth="1"/>
    <col min="13064" max="13064" width="18.85546875" style="1" customWidth="1"/>
    <col min="13065" max="13065" width="12" style="1" customWidth="1"/>
    <col min="13066" max="13066" width="13" style="1" customWidth="1"/>
    <col min="13067" max="13067" width="15.140625" style="1" customWidth="1"/>
    <col min="13068" max="13313" width="9.140625" style="1"/>
    <col min="13314" max="13314" width="11" style="1" customWidth="1"/>
    <col min="13315" max="13315" width="11.140625" style="1" customWidth="1"/>
    <col min="13316" max="13316" width="9.140625" style="1"/>
    <col min="13317" max="13317" width="10.5703125" style="1" customWidth="1"/>
    <col min="13318" max="13318" width="11.42578125" style="1" customWidth="1"/>
    <col min="13319" max="13319" width="12.85546875" style="1" customWidth="1"/>
    <col min="13320" max="13320" width="18.85546875" style="1" customWidth="1"/>
    <col min="13321" max="13321" width="12" style="1" customWidth="1"/>
    <col min="13322" max="13322" width="13" style="1" customWidth="1"/>
    <col min="13323" max="13323" width="15.140625" style="1" customWidth="1"/>
    <col min="13324" max="13569" width="9.140625" style="1"/>
    <col min="13570" max="13570" width="11" style="1" customWidth="1"/>
    <col min="13571" max="13571" width="11.140625" style="1" customWidth="1"/>
    <col min="13572" max="13572" width="9.140625" style="1"/>
    <col min="13573" max="13573" width="10.5703125" style="1" customWidth="1"/>
    <col min="13574" max="13574" width="11.42578125" style="1" customWidth="1"/>
    <col min="13575" max="13575" width="12.85546875" style="1" customWidth="1"/>
    <col min="13576" max="13576" width="18.85546875" style="1" customWidth="1"/>
    <col min="13577" max="13577" width="12" style="1" customWidth="1"/>
    <col min="13578" max="13578" width="13" style="1" customWidth="1"/>
    <col min="13579" max="13579" width="15.140625" style="1" customWidth="1"/>
    <col min="13580" max="13825" width="9.140625" style="1"/>
    <col min="13826" max="13826" width="11" style="1" customWidth="1"/>
    <col min="13827" max="13827" width="11.140625" style="1" customWidth="1"/>
    <col min="13828" max="13828" width="9.140625" style="1"/>
    <col min="13829" max="13829" width="10.5703125" style="1" customWidth="1"/>
    <col min="13830" max="13830" width="11.42578125" style="1" customWidth="1"/>
    <col min="13831" max="13831" width="12.85546875" style="1" customWidth="1"/>
    <col min="13832" max="13832" width="18.85546875" style="1" customWidth="1"/>
    <col min="13833" max="13833" width="12" style="1" customWidth="1"/>
    <col min="13834" max="13834" width="13" style="1" customWidth="1"/>
    <col min="13835" max="13835" width="15.140625" style="1" customWidth="1"/>
    <col min="13836" max="14081" width="9.140625" style="1"/>
    <col min="14082" max="14082" width="11" style="1" customWidth="1"/>
    <col min="14083" max="14083" width="11.140625" style="1" customWidth="1"/>
    <col min="14084" max="14084" width="9.140625" style="1"/>
    <col min="14085" max="14085" width="10.5703125" style="1" customWidth="1"/>
    <col min="14086" max="14086" width="11.42578125" style="1" customWidth="1"/>
    <col min="14087" max="14087" width="12.85546875" style="1" customWidth="1"/>
    <col min="14088" max="14088" width="18.85546875" style="1" customWidth="1"/>
    <col min="14089" max="14089" width="12" style="1" customWidth="1"/>
    <col min="14090" max="14090" width="13" style="1" customWidth="1"/>
    <col min="14091" max="14091" width="15.140625" style="1" customWidth="1"/>
    <col min="14092" max="14337" width="9.140625" style="1"/>
    <col min="14338" max="14338" width="11" style="1" customWidth="1"/>
    <col min="14339" max="14339" width="11.140625" style="1" customWidth="1"/>
    <col min="14340" max="14340" width="9.140625" style="1"/>
    <col min="14341" max="14341" width="10.5703125" style="1" customWidth="1"/>
    <col min="14342" max="14342" width="11.42578125" style="1" customWidth="1"/>
    <col min="14343" max="14343" width="12.85546875" style="1" customWidth="1"/>
    <col min="14344" max="14344" width="18.85546875" style="1" customWidth="1"/>
    <col min="14345" max="14345" width="12" style="1" customWidth="1"/>
    <col min="14346" max="14346" width="13" style="1" customWidth="1"/>
    <col min="14347" max="14347" width="15.140625" style="1" customWidth="1"/>
    <col min="14348" max="14593" width="9.140625" style="1"/>
    <col min="14594" max="14594" width="11" style="1" customWidth="1"/>
    <col min="14595" max="14595" width="11.140625" style="1" customWidth="1"/>
    <col min="14596" max="14596" width="9.140625" style="1"/>
    <col min="14597" max="14597" width="10.5703125" style="1" customWidth="1"/>
    <col min="14598" max="14598" width="11.42578125" style="1" customWidth="1"/>
    <col min="14599" max="14599" width="12.85546875" style="1" customWidth="1"/>
    <col min="14600" max="14600" width="18.85546875" style="1" customWidth="1"/>
    <col min="14601" max="14601" width="12" style="1" customWidth="1"/>
    <col min="14602" max="14602" width="13" style="1" customWidth="1"/>
    <col min="14603" max="14603" width="15.140625" style="1" customWidth="1"/>
    <col min="14604" max="14849" width="9.140625" style="1"/>
    <col min="14850" max="14850" width="11" style="1" customWidth="1"/>
    <col min="14851" max="14851" width="11.140625" style="1" customWidth="1"/>
    <col min="14852" max="14852" width="9.140625" style="1"/>
    <col min="14853" max="14853" width="10.5703125" style="1" customWidth="1"/>
    <col min="14854" max="14854" width="11.42578125" style="1" customWidth="1"/>
    <col min="14855" max="14855" width="12.85546875" style="1" customWidth="1"/>
    <col min="14856" max="14856" width="18.85546875" style="1" customWidth="1"/>
    <col min="14857" max="14857" width="12" style="1" customWidth="1"/>
    <col min="14858" max="14858" width="13" style="1" customWidth="1"/>
    <col min="14859" max="14859" width="15.140625" style="1" customWidth="1"/>
    <col min="14860" max="15105" width="9.140625" style="1"/>
    <col min="15106" max="15106" width="11" style="1" customWidth="1"/>
    <col min="15107" max="15107" width="11.140625" style="1" customWidth="1"/>
    <col min="15108" max="15108" width="9.140625" style="1"/>
    <col min="15109" max="15109" width="10.5703125" style="1" customWidth="1"/>
    <col min="15110" max="15110" width="11.42578125" style="1" customWidth="1"/>
    <col min="15111" max="15111" width="12.85546875" style="1" customWidth="1"/>
    <col min="15112" max="15112" width="18.85546875" style="1" customWidth="1"/>
    <col min="15113" max="15113" width="12" style="1" customWidth="1"/>
    <col min="15114" max="15114" width="13" style="1" customWidth="1"/>
    <col min="15115" max="15115" width="15.140625" style="1" customWidth="1"/>
    <col min="15116" max="15361" width="9.140625" style="1"/>
    <col min="15362" max="15362" width="11" style="1" customWidth="1"/>
    <col min="15363" max="15363" width="11.140625" style="1" customWidth="1"/>
    <col min="15364" max="15364" width="9.140625" style="1"/>
    <col min="15365" max="15365" width="10.5703125" style="1" customWidth="1"/>
    <col min="15366" max="15366" width="11.42578125" style="1" customWidth="1"/>
    <col min="15367" max="15367" width="12.85546875" style="1" customWidth="1"/>
    <col min="15368" max="15368" width="18.85546875" style="1" customWidth="1"/>
    <col min="15369" max="15369" width="12" style="1" customWidth="1"/>
    <col min="15370" max="15370" width="13" style="1" customWidth="1"/>
    <col min="15371" max="15371" width="15.140625" style="1" customWidth="1"/>
    <col min="15372" max="15617" width="9.140625" style="1"/>
    <col min="15618" max="15618" width="11" style="1" customWidth="1"/>
    <col min="15619" max="15619" width="11.140625" style="1" customWidth="1"/>
    <col min="15620" max="15620" width="9.140625" style="1"/>
    <col min="15621" max="15621" width="10.5703125" style="1" customWidth="1"/>
    <col min="15622" max="15622" width="11.42578125" style="1" customWidth="1"/>
    <col min="15623" max="15623" width="12.85546875" style="1" customWidth="1"/>
    <col min="15624" max="15624" width="18.85546875" style="1" customWidth="1"/>
    <col min="15625" max="15625" width="12" style="1" customWidth="1"/>
    <col min="15626" max="15626" width="13" style="1" customWidth="1"/>
    <col min="15627" max="15627" width="15.140625" style="1" customWidth="1"/>
    <col min="15628" max="15873" width="9.140625" style="1"/>
    <col min="15874" max="15874" width="11" style="1" customWidth="1"/>
    <col min="15875" max="15875" width="11.140625" style="1" customWidth="1"/>
    <col min="15876" max="15876" width="9.140625" style="1"/>
    <col min="15877" max="15877" width="10.5703125" style="1" customWidth="1"/>
    <col min="15878" max="15878" width="11.42578125" style="1" customWidth="1"/>
    <col min="15879" max="15879" width="12.85546875" style="1" customWidth="1"/>
    <col min="15880" max="15880" width="18.85546875" style="1" customWidth="1"/>
    <col min="15881" max="15881" width="12" style="1" customWidth="1"/>
    <col min="15882" max="15882" width="13" style="1" customWidth="1"/>
    <col min="15883" max="15883" width="15.140625" style="1" customWidth="1"/>
    <col min="15884" max="16129" width="9.140625" style="1"/>
    <col min="16130" max="16130" width="11" style="1" customWidth="1"/>
    <col min="16131" max="16131" width="11.140625" style="1" customWidth="1"/>
    <col min="16132" max="16132" width="9.140625" style="1"/>
    <col min="16133" max="16133" width="10.5703125" style="1" customWidth="1"/>
    <col min="16134" max="16134" width="11.42578125" style="1" customWidth="1"/>
    <col min="16135" max="16135" width="12.85546875" style="1" customWidth="1"/>
    <col min="16136" max="16136" width="18.85546875" style="1" customWidth="1"/>
    <col min="16137" max="16137" width="12" style="1" customWidth="1"/>
    <col min="16138" max="16138" width="13" style="1" customWidth="1"/>
    <col min="16139" max="16139" width="15.140625" style="1" customWidth="1"/>
    <col min="16140" max="16384" width="9.140625" style="1"/>
  </cols>
  <sheetData>
    <row r="1" spans="1:11" ht="57.75" customHeight="1">
      <c r="A1" s="3273"/>
      <c r="B1" s="3273"/>
      <c r="C1" s="3274"/>
      <c r="D1" s="3273"/>
      <c r="E1" s="3273"/>
      <c r="F1" s="3273"/>
      <c r="G1" s="3358" t="s">
        <v>1283</v>
      </c>
      <c r="H1" s="3358"/>
      <c r="I1" s="3358"/>
      <c r="J1" s="3358"/>
      <c r="K1" s="3358"/>
    </row>
    <row r="2" spans="1:11" ht="59.25" customHeight="1">
      <c r="A2" s="3250" t="s">
        <v>79</v>
      </c>
      <c r="B2" s="3250"/>
      <c r="C2" s="3250"/>
      <c r="D2" s="3250"/>
      <c r="E2" s="3250"/>
      <c r="F2" s="3250"/>
      <c r="G2" s="3250"/>
      <c r="H2" s="3250"/>
      <c r="I2" s="3250"/>
      <c r="J2" s="3250"/>
      <c r="K2" s="3250"/>
    </row>
    <row r="3" spans="1:11" ht="19.5" customHeight="1" thickBot="1">
      <c r="A3" s="159"/>
      <c r="B3" s="159"/>
      <c r="C3" s="159"/>
      <c r="D3" s="159"/>
      <c r="E3" s="159"/>
      <c r="F3" s="160"/>
      <c r="G3" s="160"/>
      <c r="H3" s="160"/>
      <c r="I3" s="160"/>
      <c r="J3" s="160"/>
      <c r="K3" s="55" t="s">
        <v>21</v>
      </c>
    </row>
    <row r="4" spans="1:11" ht="38.25" customHeight="1" thickBot="1">
      <c r="A4" s="3359" t="s">
        <v>78</v>
      </c>
      <c r="B4" s="3360"/>
      <c r="C4" s="3360"/>
      <c r="D4" s="3360"/>
      <c r="E4" s="3360"/>
      <c r="F4" s="3360"/>
      <c r="G4" s="3360"/>
      <c r="H4" s="3360"/>
      <c r="I4" s="3360"/>
      <c r="J4" s="3360"/>
      <c r="K4" s="3361"/>
    </row>
    <row r="5" spans="1:11" ht="23.25" customHeight="1" thickBot="1">
      <c r="A5" s="234" t="s">
        <v>0</v>
      </c>
      <c r="B5" s="234" t="s">
        <v>77</v>
      </c>
      <c r="C5" s="340" t="s">
        <v>5</v>
      </c>
      <c r="D5" s="3362" t="s">
        <v>64</v>
      </c>
      <c r="E5" s="3363"/>
      <c r="F5" s="3363"/>
      <c r="G5" s="3363"/>
      <c r="H5" s="3363"/>
      <c r="I5" s="3364"/>
      <c r="J5" s="3308" t="s">
        <v>76</v>
      </c>
      <c r="K5" s="3306"/>
    </row>
    <row r="6" spans="1:11" ht="14.1" customHeight="1">
      <c r="A6" s="3365">
        <v>855</v>
      </c>
      <c r="B6" s="329"/>
      <c r="C6" s="3368" t="s">
        <v>163</v>
      </c>
      <c r="D6" s="3368"/>
      <c r="E6" s="3368"/>
      <c r="F6" s="3368"/>
      <c r="G6" s="3368"/>
      <c r="H6" s="3368"/>
      <c r="I6" s="3369"/>
      <c r="J6" s="3356">
        <f>SUM(J7)</f>
        <v>3113046</v>
      </c>
      <c r="K6" s="3357"/>
    </row>
    <row r="7" spans="1:11" ht="14.1" customHeight="1">
      <c r="A7" s="3366"/>
      <c r="B7" s="3374">
        <v>85510</v>
      </c>
      <c r="C7" s="3370" t="s">
        <v>164</v>
      </c>
      <c r="D7" s="3370"/>
      <c r="E7" s="3370"/>
      <c r="F7" s="3370"/>
      <c r="G7" s="3370"/>
      <c r="H7" s="3370"/>
      <c r="I7" s="3371"/>
      <c r="J7" s="3331">
        <f>SUM(J8)</f>
        <v>3113046</v>
      </c>
      <c r="K7" s="3332"/>
    </row>
    <row r="8" spans="1:11" ht="19.5" customHeight="1" thickBot="1">
      <c r="A8" s="3367"/>
      <c r="B8" s="3375"/>
      <c r="C8" s="330">
        <v>2320</v>
      </c>
      <c r="D8" s="3372"/>
      <c r="E8" s="3372"/>
      <c r="F8" s="3372"/>
      <c r="G8" s="3372"/>
      <c r="H8" s="3372"/>
      <c r="I8" s="3373"/>
      <c r="J8" s="3327">
        <v>3113046</v>
      </c>
      <c r="K8" s="3328"/>
    </row>
    <row r="9" spans="1:11" ht="15">
      <c r="A9" s="3376" t="s">
        <v>10</v>
      </c>
      <c r="B9" s="3379" t="s">
        <v>17</v>
      </c>
      <c r="C9" s="3380"/>
      <c r="D9" s="3380"/>
      <c r="E9" s="3380"/>
      <c r="F9" s="3380"/>
      <c r="G9" s="3380"/>
      <c r="H9" s="3380"/>
      <c r="I9" s="3381"/>
      <c r="J9" s="3333">
        <f>SUM(J10)</f>
        <v>3843000</v>
      </c>
      <c r="K9" s="3334"/>
    </row>
    <row r="10" spans="1:11" ht="14.25">
      <c r="A10" s="3377"/>
      <c r="B10" s="3382" t="s">
        <v>11</v>
      </c>
      <c r="C10" s="3384" t="s">
        <v>12</v>
      </c>
      <c r="D10" s="3384"/>
      <c r="E10" s="3384"/>
      <c r="F10" s="3384"/>
      <c r="G10" s="3384"/>
      <c r="H10" s="3384"/>
      <c r="I10" s="3385"/>
      <c r="J10" s="3331">
        <f>SUM(J11:K12)</f>
        <v>3843000</v>
      </c>
      <c r="K10" s="3332"/>
    </row>
    <row r="11" spans="1:11" ht="15">
      <c r="A11" s="3377"/>
      <c r="B11" s="3382"/>
      <c r="C11" s="354">
        <v>2310</v>
      </c>
      <c r="D11" s="3386"/>
      <c r="E11" s="3386"/>
      <c r="F11" s="3386"/>
      <c r="G11" s="3386"/>
      <c r="H11" s="3386"/>
      <c r="I11" s="3387"/>
      <c r="J11" s="3329">
        <v>3765000</v>
      </c>
      <c r="K11" s="3330"/>
    </row>
    <row r="12" spans="1:11" ht="15.75" thickBot="1">
      <c r="A12" s="3378"/>
      <c r="B12" s="3383"/>
      <c r="C12" s="355">
        <v>2320</v>
      </c>
      <c r="D12" s="3388"/>
      <c r="E12" s="3388"/>
      <c r="F12" s="3388"/>
      <c r="G12" s="3388"/>
      <c r="H12" s="3388"/>
      <c r="I12" s="3389"/>
      <c r="J12" s="3327">
        <v>78000</v>
      </c>
      <c r="K12" s="3328"/>
    </row>
    <row r="13" spans="1:11" ht="16.5" thickBot="1">
      <c r="A13" s="3337" t="s">
        <v>16</v>
      </c>
      <c r="B13" s="3338"/>
      <c r="C13" s="3338"/>
      <c r="D13" s="3338"/>
      <c r="E13" s="3338"/>
      <c r="F13" s="3338"/>
      <c r="G13" s="3338"/>
      <c r="H13" s="3338"/>
      <c r="I13" s="3339"/>
      <c r="J13" s="3340">
        <f>J9+J6</f>
        <v>6956046</v>
      </c>
      <c r="K13" s="3341"/>
    </row>
    <row r="14" spans="1:11" ht="11.25" customHeight="1">
      <c r="A14" s="54"/>
      <c r="B14" s="54"/>
      <c r="C14" s="53"/>
      <c r="D14" s="52"/>
      <c r="E14" s="52"/>
      <c r="F14" s="51"/>
      <c r="G14" s="50"/>
      <c r="H14" s="49"/>
      <c r="I14" s="49"/>
      <c r="J14" s="49"/>
      <c r="K14" s="49"/>
    </row>
    <row r="15" spans="1:11" ht="15.75" thickBot="1">
      <c r="A15" s="48"/>
      <c r="B15" s="48"/>
      <c r="C15" s="46"/>
      <c r="D15" s="47"/>
      <c r="E15" s="47"/>
      <c r="F15" s="47"/>
      <c r="G15" s="47"/>
      <c r="H15" s="47"/>
      <c r="I15" s="47"/>
      <c r="J15" s="46"/>
      <c r="K15" s="45" t="s">
        <v>21</v>
      </c>
    </row>
    <row r="16" spans="1:11" ht="37.5" customHeight="1" thickBot="1">
      <c r="A16" s="3342" t="s">
        <v>75</v>
      </c>
      <c r="B16" s="3343"/>
      <c r="C16" s="3343"/>
      <c r="D16" s="3343"/>
      <c r="E16" s="3343"/>
      <c r="F16" s="3343"/>
      <c r="G16" s="3343"/>
      <c r="H16" s="3343"/>
      <c r="I16" s="3343"/>
      <c r="J16" s="3343"/>
      <c r="K16" s="3344"/>
    </row>
    <row r="17" spans="1:11" ht="15">
      <c r="A17" s="3345" t="s">
        <v>0</v>
      </c>
      <c r="B17" s="3347" t="s">
        <v>1</v>
      </c>
      <c r="C17" s="3345" t="s">
        <v>64</v>
      </c>
      <c r="D17" s="3345"/>
      <c r="E17" s="3309" t="s">
        <v>5</v>
      </c>
      <c r="F17" s="3350" t="s">
        <v>74</v>
      </c>
      <c r="G17" s="3352" t="s">
        <v>73</v>
      </c>
      <c r="H17" s="3353" t="s">
        <v>2</v>
      </c>
      <c r="I17" s="3354"/>
      <c r="J17" s="3355"/>
      <c r="K17" s="3335" t="s">
        <v>72</v>
      </c>
    </row>
    <row r="18" spans="1:11" ht="44.1" customHeight="1" thickBot="1">
      <c r="A18" s="3346"/>
      <c r="B18" s="3348"/>
      <c r="C18" s="3346"/>
      <c r="D18" s="3346"/>
      <c r="E18" s="3349"/>
      <c r="F18" s="3351"/>
      <c r="G18" s="3346"/>
      <c r="H18" s="356" t="s">
        <v>71</v>
      </c>
      <c r="I18" s="357" t="s">
        <v>14</v>
      </c>
      <c r="J18" s="238" t="s">
        <v>70</v>
      </c>
      <c r="K18" s="3336"/>
    </row>
    <row r="19" spans="1:11" ht="15" customHeight="1">
      <c r="A19" s="3398">
        <v>855</v>
      </c>
      <c r="B19" s="3402" t="s">
        <v>163</v>
      </c>
      <c r="C19" s="3403"/>
      <c r="D19" s="3403"/>
      <c r="E19" s="3404"/>
      <c r="F19" s="341">
        <f t="shared" ref="F19:K19" si="0">F20</f>
        <v>3113046</v>
      </c>
      <c r="G19" s="331">
        <f t="shared" si="0"/>
        <v>3113046</v>
      </c>
      <c r="H19" s="332">
        <f t="shared" si="0"/>
        <v>0</v>
      </c>
      <c r="I19" s="126">
        <f t="shared" si="0"/>
        <v>3113046</v>
      </c>
      <c r="J19" s="333">
        <f t="shared" si="0"/>
        <v>0</v>
      </c>
      <c r="K19" s="334">
        <f t="shared" si="0"/>
        <v>0</v>
      </c>
    </row>
    <row r="20" spans="1:11" ht="63.75" customHeight="1" thickBot="1">
      <c r="A20" s="3399"/>
      <c r="B20" s="358">
        <v>85510</v>
      </c>
      <c r="C20" s="3393" t="s">
        <v>164</v>
      </c>
      <c r="D20" s="3394"/>
      <c r="E20" s="359">
        <v>2360</v>
      </c>
      <c r="F20" s="236">
        <f>G20+K20</f>
        <v>3113046</v>
      </c>
      <c r="G20" s="210">
        <f>H20+I20+J20</f>
        <v>3113046</v>
      </c>
      <c r="H20" s="360">
        <v>0</v>
      </c>
      <c r="I20" s="361">
        <v>3113046</v>
      </c>
      <c r="J20" s="237">
        <v>0</v>
      </c>
      <c r="K20" s="362">
        <v>0</v>
      </c>
    </row>
    <row r="21" spans="1:11" ht="30" customHeight="1">
      <c r="A21" s="3298" t="s">
        <v>10</v>
      </c>
      <c r="B21" s="3390" t="s">
        <v>69</v>
      </c>
      <c r="C21" s="3391"/>
      <c r="D21" s="3391"/>
      <c r="E21" s="3392"/>
      <c r="F21" s="342">
        <f t="shared" ref="F21:K21" si="1">F22+F23</f>
        <v>3843000</v>
      </c>
      <c r="G21" s="335">
        <f t="shared" si="1"/>
        <v>3843000</v>
      </c>
      <c r="H21" s="336">
        <f t="shared" si="1"/>
        <v>0</v>
      </c>
      <c r="I21" s="337">
        <f t="shared" si="1"/>
        <v>3843000</v>
      </c>
      <c r="J21" s="338">
        <f t="shared" si="1"/>
        <v>0</v>
      </c>
      <c r="K21" s="343">
        <f t="shared" si="1"/>
        <v>0</v>
      </c>
    </row>
    <row r="22" spans="1:11" ht="21" customHeight="1">
      <c r="A22" s="3298"/>
      <c r="B22" s="3396" t="s">
        <v>11</v>
      </c>
      <c r="C22" s="3400" t="s">
        <v>12</v>
      </c>
      <c r="D22" s="3400"/>
      <c r="E22" s="363">
        <v>2480</v>
      </c>
      <c r="F22" s="364">
        <f>G22+K22</f>
        <v>3765000</v>
      </c>
      <c r="G22" s="365">
        <f>H22+I22+J22</f>
        <v>3765000</v>
      </c>
      <c r="H22" s="347">
        <v>0</v>
      </c>
      <c r="I22" s="310">
        <v>3765000</v>
      </c>
      <c r="J22" s="161">
        <v>0</v>
      </c>
      <c r="K22" s="235">
        <v>0</v>
      </c>
    </row>
    <row r="23" spans="1:11" ht="21" customHeight="1" thickBot="1">
      <c r="A23" s="3268"/>
      <c r="B23" s="3397"/>
      <c r="C23" s="3401"/>
      <c r="D23" s="3401"/>
      <c r="E23" s="363">
        <v>2800</v>
      </c>
      <c r="F23" s="364">
        <f>G23+K23</f>
        <v>78000</v>
      </c>
      <c r="G23" s="365">
        <f>H23+I23+J23</f>
        <v>78000</v>
      </c>
      <c r="H23" s="347">
        <v>0</v>
      </c>
      <c r="I23" s="310">
        <v>78000</v>
      </c>
      <c r="J23" s="161">
        <v>0</v>
      </c>
      <c r="K23" s="235">
        <v>0</v>
      </c>
    </row>
    <row r="24" spans="1:11" ht="22.5" customHeight="1" thickBot="1">
      <c r="A24" s="3324" t="s">
        <v>61</v>
      </c>
      <c r="B24" s="3395"/>
      <c r="C24" s="3395"/>
      <c r="D24" s="3395"/>
      <c r="E24" s="3395"/>
      <c r="F24" s="42">
        <f t="shared" ref="F24:K24" si="2">F21+F19</f>
        <v>6956046</v>
      </c>
      <c r="G24" s="43">
        <f t="shared" si="2"/>
        <v>6956046</v>
      </c>
      <c r="H24" s="239">
        <f t="shared" si="2"/>
        <v>0</v>
      </c>
      <c r="I24" s="43">
        <f>I21+I19</f>
        <v>6956046</v>
      </c>
      <c r="J24" s="43">
        <f t="shared" si="2"/>
        <v>0</v>
      </c>
      <c r="K24" s="239">
        <f t="shared" si="2"/>
        <v>0</v>
      </c>
    </row>
    <row r="29" spans="1:11">
      <c r="E29" s="100"/>
    </row>
  </sheetData>
  <mergeCells count="43">
    <mergeCell ref="B21:E21"/>
    <mergeCell ref="C20:D20"/>
    <mergeCell ref="A24:E24"/>
    <mergeCell ref="B22:B23"/>
    <mergeCell ref="A21:A23"/>
    <mergeCell ref="A19:A20"/>
    <mergeCell ref="C22:D23"/>
    <mergeCell ref="B19:E19"/>
    <mergeCell ref="A9:A12"/>
    <mergeCell ref="B9:I9"/>
    <mergeCell ref="B10:B12"/>
    <mergeCell ref="C10:I10"/>
    <mergeCell ref="D11:I11"/>
    <mergeCell ref="D12:I12"/>
    <mergeCell ref="J6:K6"/>
    <mergeCell ref="J7:K7"/>
    <mergeCell ref="J8:K8"/>
    <mergeCell ref="A1:F1"/>
    <mergeCell ref="G1:K1"/>
    <mergeCell ref="A2:K2"/>
    <mergeCell ref="A4:K4"/>
    <mergeCell ref="D5:I5"/>
    <mergeCell ref="J5:K5"/>
    <mergeCell ref="A6:A8"/>
    <mergeCell ref="C6:I6"/>
    <mergeCell ref="C7:I7"/>
    <mergeCell ref="D8:I8"/>
    <mergeCell ref="B7:B8"/>
    <mergeCell ref="A13:I13"/>
    <mergeCell ref="J13:K13"/>
    <mergeCell ref="A16:K16"/>
    <mergeCell ref="A17:A18"/>
    <mergeCell ref="B17:B18"/>
    <mergeCell ref="C17:D18"/>
    <mergeCell ref="E17:E18"/>
    <mergeCell ref="F17:F18"/>
    <mergeCell ref="G17:G18"/>
    <mergeCell ref="H17:J17"/>
    <mergeCell ref="J12:K12"/>
    <mergeCell ref="J11:K11"/>
    <mergeCell ref="J10:K10"/>
    <mergeCell ref="J9:K9"/>
    <mergeCell ref="K17:K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4"/>
  <sheetViews>
    <sheetView view="pageBreakPreview" zoomScaleNormal="100" zoomScaleSheetLayoutView="100" workbookViewId="0">
      <selection activeCell="M8" sqref="M8"/>
    </sheetView>
  </sheetViews>
  <sheetFormatPr defaultRowHeight="12.75"/>
  <cols>
    <col min="1" max="6" width="12.7109375" style="1" customWidth="1"/>
    <col min="7" max="7" width="60.7109375" style="1" customWidth="1"/>
    <col min="8" max="8" width="10.140625" style="1" bestFit="1" customWidth="1"/>
    <col min="9" max="9" width="10.7109375" style="1" bestFit="1" customWidth="1"/>
    <col min="10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1" ht="50.1" customHeight="1">
      <c r="A1" s="3425"/>
      <c r="B1" s="3425"/>
      <c r="C1" s="756"/>
      <c r="D1" s="756"/>
      <c r="E1" s="756"/>
      <c r="F1" s="756"/>
      <c r="G1" s="2410" t="s">
        <v>1284</v>
      </c>
    </row>
    <row r="2" spans="1:11" s="100" customFormat="1" ht="30" customHeight="1">
      <c r="A2" s="3303" t="s">
        <v>1248</v>
      </c>
      <c r="B2" s="3303"/>
      <c r="C2" s="3303"/>
      <c r="D2" s="3303"/>
      <c r="E2" s="3303"/>
      <c r="F2" s="3303"/>
      <c r="G2" s="3303"/>
    </row>
    <row r="3" spans="1:11" s="100" customFormat="1" ht="13.5" customHeight="1">
      <c r="A3" s="2317"/>
      <c r="B3" s="2317"/>
      <c r="C3" s="2317"/>
      <c r="D3" s="2317"/>
      <c r="E3" s="2317"/>
      <c r="F3" s="2317"/>
      <c r="G3" s="669" t="s">
        <v>21</v>
      </c>
    </row>
    <row r="4" spans="1:11" s="100" customFormat="1" ht="20.100000000000001" customHeight="1" thickBot="1">
      <c r="A4" s="3416" t="s">
        <v>24</v>
      </c>
      <c r="B4" s="3416"/>
      <c r="C4" s="3416"/>
      <c r="D4" s="3416"/>
      <c r="E4" s="3416"/>
      <c r="F4" s="3416"/>
      <c r="G4" s="3416"/>
      <c r="H4" s="2411"/>
      <c r="I4" s="2411"/>
      <c r="J4" s="2411"/>
      <c r="K4" s="2412"/>
    </row>
    <row r="5" spans="1:11" s="100" customFormat="1" ht="20.100000000000001" customHeight="1">
      <c r="A5" s="3417" t="s">
        <v>0</v>
      </c>
      <c r="B5" s="3419" t="s">
        <v>1</v>
      </c>
      <c r="C5" s="3419" t="s">
        <v>5</v>
      </c>
      <c r="D5" s="3421" t="s">
        <v>1249</v>
      </c>
      <c r="E5" s="3419" t="s">
        <v>2</v>
      </c>
      <c r="F5" s="3419"/>
      <c r="G5" s="3423" t="s">
        <v>137</v>
      </c>
      <c r="H5" s="2412"/>
      <c r="I5" s="2412"/>
      <c r="J5" s="2400"/>
    </row>
    <row r="6" spans="1:11" s="100" customFormat="1" ht="20.100000000000001" customHeight="1">
      <c r="A6" s="3418"/>
      <c r="B6" s="3420"/>
      <c r="C6" s="3420"/>
      <c r="D6" s="3422"/>
      <c r="E6" s="2413" t="s">
        <v>20</v>
      </c>
      <c r="F6" s="2413" t="s">
        <v>19</v>
      </c>
      <c r="G6" s="3424"/>
      <c r="H6" s="2412"/>
      <c r="I6" s="2412"/>
      <c r="J6" s="2400"/>
    </row>
    <row r="7" spans="1:11" s="100" customFormat="1" ht="24" customHeight="1">
      <c r="A7" s="3405">
        <v>750</v>
      </c>
      <c r="B7" s="3408">
        <v>75095</v>
      </c>
      <c r="C7" s="2414">
        <v>2057</v>
      </c>
      <c r="D7" s="2415">
        <f t="shared" ref="D7" si="0">SUM(E7:F7)</f>
        <v>1054735</v>
      </c>
      <c r="E7" s="2416">
        <v>1054735</v>
      </c>
      <c r="F7" s="2415">
        <v>0</v>
      </c>
      <c r="G7" s="3411" t="s">
        <v>1250</v>
      </c>
      <c r="H7" s="2400"/>
      <c r="I7" s="2400"/>
      <c r="J7" s="2400"/>
    </row>
    <row r="8" spans="1:11" s="100" customFormat="1" ht="23.25" customHeight="1">
      <c r="A8" s="3406"/>
      <c r="B8" s="3409"/>
      <c r="C8" s="2414">
        <v>2059</v>
      </c>
      <c r="D8" s="2415">
        <f>SUM(E8:F8)</f>
        <v>63873</v>
      </c>
      <c r="E8" s="2416">
        <v>63873</v>
      </c>
      <c r="F8" s="2415">
        <v>0</v>
      </c>
      <c r="G8" s="3412"/>
      <c r="H8" s="2400"/>
      <c r="I8" s="2400"/>
      <c r="J8" s="2400"/>
    </row>
    <row r="9" spans="1:11" s="100" customFormat="1" ht="24" hidden="1" customHeight="1">
      <c r="A9" s="3406"/>
      <c r="B9" s="3409"/>
      <c r="C9" s="2414">
        <v>6257</v>
      </c>
      <c r="D9" s="2415">
        <f t="shared" ref="D9:D12" si="1">SUM(E9:F9)</f>
        <v>0</v>
      </c>
      <c r="E9" s="2416"/>
      <c r="F9" s="2415"/>
      <c r="G9" s="3412"/>
      <c r="H9" s="2400"/>
      <c r="I9" s="2400"/>
      <c r="J9" s="2400"/>
    </row>
    <row r="10" spans="1:11" s="100" customFormat="1" ht="23.25" hidden="1" customHeight="1">
      <c r="A10" s="3407"/>
      <c r="B10" s="3410"/>
      <c r="C10" s="2414">
        <v>6259</v>
      </c>
      <c r="D10" s="2415">
        <f t="shared" si="1"/>
        <v>0</v>
      </c>
      <c r="E10" s="2416"/>
      <c r="F10" s="2415"/>
      <c r="G10" s="3413"/>
      <c r="H10" s="2400"/>
      <c r="I10" s="2400"/>
      <c r="J10" s="2400"/>
    </row>
    <row r="11" spans="1:11" s="100" customFormat="1" ht="24" customHeight="1">
      <c r="A11" s="3405">
        <v>852</v>
      </c>
      <c r="B11" s="3408">
        <v>85295</v>
      </c>
      <c r="C11" s="2414">
        <v>2057</v>
      </c>
      <c r="D11" s="2415">
        <f t="shared" si="1"/>
        <v>3103864</v>
      </c>
      <c r="E11" s="2416">
        <v>3103864</v>
      </c>
      <c r="F11" s="2415">
        <v>0</v>
      </c>
      <c r="G11" s="3411" t="s">
        <v>1251</v>
      </c>
      <c r="H11" s="2400"/>
      <c r="I11" s="2400"/>
      <c r="J11" s="2400"/>
    </row>
    <row r="12" spans="1:11" s="100" customFormat="1" ht="23.25" customHeight="1">
      <c r="A12" s="3407"/>
      <c r="B12" s="3410"/>
      <c r="C12" s="2414">
        <v>2059</v>
      </c>
      <c r="D12" s="2415">
        <f t="shared" si="1"/>
        <v>578937</v>
      </c>
      <c r="E12" s="2416">
        <v>578937</v>
      </c>
      <c r="F12" s="2415">
        <v>0</v>
      </c>
      <c r="G12" s="3413"/>
      <c r="H12" s="2400"/>
      <c r="I12" s="2400"/>
      <c r="J12" s="2400"/>
    </row>
    <row r="13" spans="1:11" s="100" customFormat="1" ht="24.95" customHeight="1" thickBot="1">
      <c r="A13" s="3414" t="s">
        <v>22</v>
      </c>
      <c r="B13" s="3415"/>
      <c r="C13" s="3415"/>
      <c r="D13" s="2417">
        <f>SUM(D7:D12)</f>
        <v>4801409</v>
      </c>
      <c r="E13" s="2417">
        <f>SUM(E7:E12)</f>
        <v>4801409</v>
      </c>
      <c r="F13" s="2417">
        <f>SUM(F7:F12)</f>
        <v>0</v>
      </c>
      <c r="G13" s="2418"/>
      <c r="H13" s="2400"/>
      <c r="I13" s="2400"/>
      <c r="J13" s="2400"/>
    </row>
    <row r="14" spans="1:11" s="100" customFormat="1">
      <c r="A14" s="2419"/>
      <c r="B14" s="2419"/>
      <c r="C14" s="2419"/>
      <c r="D14" s="2420"/>
      <c r="E14" s="2420"/>
      <c r="F14" s="2420"/>
      <c r="G14" s="2421"/>
      <c r="H14" s="2400"/>
      <c r="I14" s="2400"/>
      <c r="J14" s="2400"/>
    </row>
    <row r="15" spans="1:11" s="100" customFormat="1" ht="20.100000000000001" customHeight="1" thickBot="1">
      <c r="A15" s="3416" t="s">
        <v>23</v>
      </c>
      <c r="B15" s="3416"/>
      <c r="C15" s="3416"/>
      <c r="D15" s="3416"/>
      <c r="E15" s="3416"/>
      <c r="F15" s="3416"/>
      <c r="G15" s="3416"/>
      <c r="H15" s="2411"/>
      <c r="I15" s="2411"/>
      <c r="J15" s="2411"/>
      <c r="K15" s="2412"/>
    </row>
    <row r="16" spans="1:11" s="100" customFormat="1" ht="20.100000000000001" customHeight="1">
      <c r="A16" s="3417" t="s">
        <v>0</v>
      </c>
      <c r="B16" s="3419" t="s">
        <v>1</v>
      </c>
      <c r="C16" s="3419" t="s">
        <v>5</v>
      </c>
      <c r="D16" s="3421" t="s">
        <v>1249</v>
      </c>
      <c r="E16" s="3419" t="s">
        <v>2</v>
      </c>
      <c r="F16" s="3419"/>
      <c r="G16" s="3423" t="s">
        <v>137</v>
      </c>
      <c r="H16" s="2412"/>
      <c r="I16" s="2412"/>
      <c r="J16" s="2400"/>
    </row>
    <row r="17" spans="1:10" s="100" customFormat="1" ht="20.100000000000001" customHeight="1">
      <c r="A17" s="3418"/>
      <c r="B17" s="3420"/>
      <c r="C17" s="3420"/>
      <c r="D17" s="3422"/>
      <c r="E17" s="2413" t="s">
        <v>20</v>
      </c>
      <c r="F17" s="2413" t="s">
        <v>19</v>
      </c>
      <c r="G17" s="3424"/>
      <c r="H17" s="2412"/>
      <c r="I17" s="2412"/>
      <c r="J17" s="2400"/>
    </row>
    <row r="18" spans="1:10" s="100" customFormat="1" ht="24" customHeight="1">
      <c r="A18" s="3405">
        <v>750</v>
      </c>
      <c r="B18" s="3408">
        <v>75095</v>
      </c>
      <c r="C18" s="2414">
        <v>2007</v>
      </c>
      <c r="D18" s="2415">
        <f t="shared" ref="D18:D24" si="2">SUM(E18:F18)</f>
        <v>100089</v>
      </c>
      <c r="E18" s="2416">
        <v>100089</v>
      </c>
      <c r="F18" s="2415">
        <v>0</v>
      </c>
      <c r="G18" s="3411" t="s">
        <v>1250</v>
      </c>
      <c r="H18" s="2400"/>
      <c r="I18" s="2400"/>
      <c r="J18" s="2400"/>
    </row>
    <row r="19" spans="1:10" s="100" customFormat="1" ht="23.25" customHeight="1">
      <c r="A19" s="3406"/>
      <c r="B19" s="3409"/>
      <c r="C19" s="2414">
        <v>2009</v>
      </c>
      <c r="D19" s="2415">
        <f t="shared" si="2"/>
        <v>6061</v>
      </c>
      <c r="E19" s="2416">
        <v>6061</v>
      </c>
      <c r="F19" s="2415">
        <v>0</v>
      </c>
      <c r="G19" s="3412"/>
      <c r="H19" s="2400"/>
      <c r="I19" s="2400"/>
      <c r="J19" s="2400"/>
    </row>
    <row r="20" spans="1:10" s="100" customFormat="1" ht="24" hidden="1" customHeight="1">
      <c r="A20" s="3406"/>
      <c r="B20" s="3409"/>
      <c r="C20" s="2414">
        <v>6207</v>
      </c>
      <c r="D20" s="2415">
        <f t="shared" si="2"/>
        <v>0</v>
      </c>
      <c r="E20" s="2416"/>
      <c r="F20" s="2415"/>
      <c r="G20" s="3412"/>
      <c r="H20" s="2400"/>
      <c r="I20" s="2400"/>
      <c r="J20" s="2400"/>
    </row>
    <row r="21" spans="1:10" s="100" customFormat="1" ht="23.25" hidden="1" customHeight="1">
      <c r="A21" s="3406"/>
      <c r="B21" s="3409"/>
      <c r="C21" s="2414">
        <v>6209</v>
      </c>
      <c r="D21" s="2415">
        <f t="shared" si="2"/>
        <v>0</v>
      </c>
      <c r="E21" s="2416"/>
      <c r="F21" s="2415"/>
      <c r="G21" s="3413"/>
      <c r="H21" s="2400"/>
      <c r="I21" s="2400"/>
      <c r="J21" s="2400"/>
    </row>
    <row r="22" spans="1:10" s="100" customFormat="1" ht="24" customHeight="1">
      <c r="A22" s="3406"/>
      <c r="B22" s="3409"/>
      <c r="C22" s="2414">
        <v>2007</v>
      </c>
      <c r="D22" s="2415">
        <f t="shared" si="2"/>
        <v>155637</v>
      </c>
      <c r="E22" s="2416">
        <v>155637</v>
      </c>
      <c r="F22" s="2415">
        <v>0</v>
      </c>
      <c r="G22" s="3411" t="s">
        <v>1252</v>
      </c>
      <c r="H22" s="2400"/>
      <c r="I22" s="2400"/>
      <c r="J22" s="2400"/>
    </row>
    <row r="23" spans="1:10" s="100" customFormat="1" ht="23.25" customHeight="1">
      <c r="A23" s="3407"/>
      <c r="B23" s="3410"/>
      <c r="C23" s="2414">
        <v>2009</v>
      </c>
      <c r="D23" s="2415">
        <f t="shared" si="2"/>
        <v>9155</v>
      </c>
      <c r="E23" s="2416">
        <v>9155</v>
      </c>
      <c r="F23" s="2415">
        <v>0</v>
      </c>
      <c r="G23" s="3413"/>
      <c r="H23" s="2400"/>
      <c r="I23" s="2400"/>
      <c r="J23" s="2400"/>
    </row>
    <row r="24" spans="1:10" s="100" customFormat="1" ht="50.1" customHeight="1">
      <c r="A24" s="2422">
        <v>853</v>
      </c>
      <c r="B24" s="2414">
        <v>85395</v>
      </c>
      <c r="C24" s="2414">
        <v>2009</v>
      </c>
      <c r="D24" s="2415">
        <f t="shared" si="2"/>
        <v>3837000</v>
      </c>
      <c r="E24" s="2416">
        <v>3837000</v>
      </c>
      <c r="F24" s="2415">
        <v>0</v>
      </c>
      <c r="G24" s="2423" t="s">
        <v>1253</v>
      </c>
      <c r="H24" s="2400"/>
      <c r="I24" s="2400"/>
      <c r="J24" s="2400"/>
    </row>
    <row r="25" spans="1:10" s="100" customFormat="1" ht="24.95" customHeight="1" thickBot="1">
      <c r="A25" s="3414" t="s">
        <v>22</v>
      </c>
      <c r="B25" s="3415"/>
      <c r="C25" s="3415"/>
      <c r="D25" s="2417">
        <f>SUM(D18:D24)</f>
        <v>4107942</v>
      </c>
      <c r="E25" s="2417">
        <f>SUM(E18:E24)</f>
        <v>4107942</v>
      </c>
      <c r="F25" s="2417">
        <f t="shared" ref="F25" si="3">SUM(F18:F24)</f>
        <v>0</v>
      </c>
      <c r="G25" s="2418"/>
      <c r="H25" s="2400"/>
      <c r="I25" s="2400"/>
      <c r="J25" s="2400"/>
    </row>
    <row r="26" spans="1:10">
      <c r="A26" s="2424"/>
      <c r="B26" s="2425"/>
      <c r="C26" s="2426"/>
      <c r="D26" s="2426"/>
      <c r="E26" s="2426"/>
      <c r="F26" s="2426"/>
      <c r="G26" s="2427"/>
      <c r="H26" s="2428"/>
      <c r="I26" s="2"/>
      <c r="J26" s="2"/>
    </row>
    <row r="27" spans="1:10">
      <c r="A27" s="2424"/>
      <c r="B27" s="2425"/>
      <c r="C27" s="2426"/>
      <c r="D27" s="2429"/>
      <c r="E27" s="2429"/>
      <c r="F27" s="2429"/>
      <c r="G27" s="2430"/>
      <c r="H27" s="2428"/>
      <c r="I27" s="2"/>
      <c r="J27" s="2"/>
    </row>
    <row r="28" spans="1:10">
      <c r="A28" s="2431"/>
      <c r="B28" s="2425"/>
      <c r="C28" s="2426"/>
      <c r="D28" s="2426"/>
      <c r="E28" s="2426"/>
      <c r="F28" s="2426"/>
      <c r="G28" s="2432"/>
      <c r="H28" s="2428"/>
      <c r="I28" s="2"/>
      <c r="J28" s="2"/>
    </row>
    <row r="29" spans="1:10">
      <c r="A29" s="2431"/>
      <c r="B29" s="2425"/>
      <c r="C29" s="2426"/>
      <c r="D29" s="2426"/>
      <c r="E29" s="2433"/>
      <c r="F29" s="2329"/>
      <c r="G29" s="2432"/>
      <c r="H29" s="2428"/>
      <c r="I29" s="2"/>
      <c r="J29" s="2"/>
    </row>
    <row r="30" spans="1:10">
      <c r="A30" s="2431"/>
      <c r="B30" s="2425"/>
      <c r="C30" s="2426"/>
      <c r="D30" s="2426"/>
      <c r="E30" s="2426"/>
      <c r="F30" s="2426"/>
      <c r="G30" s="2432"/>
      <c r="H30" s="2428"/>
      <c r="I30" s="2"/>
      <c r="J30" s="2"/>
    </row>
    <row r="31" spans="1:10" s="2438" customFormat="1">
      <c r="A31" s="2434"/>
      <c r="B31" s="2425"/>
      <c r="C31" s="2435"/>
      <c r="D31" s="2435"/>
      <c r="E31" s="2433"/>
      <c r="F31" s="2432"/>
      <c r="G31" s="2436"/>
      <c r="H31" s="2437"/>
      <c r="I31" s="2402"/>
      <c r="J31" s="2402"/>
    </row>
    <row r="32" spans="1:10">
      <c r="A32" s="2433"/>
      <c r="B32" s="2433"/>
      <c r="C32" s="2433"/>
      <c r="D32" s="2439"/>
      <c r="E32" s="2426"/>
      <c r="F32" s="2426"/>
      <c r="G32" s="2433"/>
      <c r="H32" s="4"/>
      <c r="I32" s="4"/>
    </row>
    <row r="33" spans="5:9">
      <c r="G33" s="4"/>
      <c r="H33" s="4"/>
      <c r="I33" s="4"/>
    </row>
    <row r="34" spans="5:9">
      <c r="E34" s="2"/>
      <c r="F34" s="2"/>
    </row>
  </sheetData>
  <mergeCells count="28">
    <mergeCell ref="A1:B1"/>
    <mergeCell ref="A2:G2"/>
    <mergeCell ref="A4:G4"/>
    <mergeCell ref="A5:A6"/>
    <mergeCell ref="B5:B6"/>
    <mergeCell ref="C5:C6"/>
    <mergeCell ref="D5:D6"/>
    <mergeCell ref="E5:F5"/>
    <mergeCell ref="G5:G6"/>
    <mergeCell ref="A7:A10"/>
    <mergeCell ref="B7:B10"/>
    <mergeCell ref="G7:G10"/>
    <mergeCell ref="A11:A12"/>
    <mergeCell ref="B11:B12"/>
    <mergeCell ref="G11:G12"/>
    <mergeCell ref="A13:C13"/>
    <mergeCell ref="A15:G15"/>
    <mergeCell ref="A16:A17"/>
    <mergeCell ref="B16:B17"/>
    <mergeCell ref="C16:C17"/>
    <mergeCell ref="D16:D17"/>
    <mergeCell ref="E16:F16"/>
    <mergeCell ref="G16:G17"/>
    <mergeCell ref="A18:A23"/>
    <mergeCell ref="B18:B23"/>
    <mergeCell ref="G18:G21"/>
    <mergeCell ref="G22:G23"/>
    <mergeCell ref="A25:C25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5" orientation="landscape" r:id="rId1"/>
  <headerFooter alignWithMargins="0"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6"/>
  <sheetViews>
    <sheetView view="pageBreakPreview" zoomScaleSheetLayoutView="100" workbookViewId="0">
      <selection activeCell="I9" sqref="I9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2" ht="48.75" customHeight="1">
      <c r="A1" s="666"/>
      <c r="B1" s="666"/>
      <c r="C1" s="666"/>
      <c r="D1" s="666"/>
      <c r="E1" s="666"/>
      <c r="F1" s="666"/>
      <c r="G1" s="2410" t="s">
        <v>1285</v>
      </c>
    </row>
    <row r="2" spans="1:12" s="100" customFormat="1" ht="40.5" customHeight="1">
      <c r="A2" s="3303" t="s">
        <v>1254</v>
      </c>
      <c r="B2" s="3303"/>
      <c r="C2" s="3303"/>
      <c r="D2" s="3303"/>
      <c r="E2" s="3303"/>
      <c r="F2" s="3303"/>
      <c r="G2" s="3303"/>
    </row>
    <row r="3" spans="1:12" ht="15">
      <c r="A3" s="2317"/>
      <c r="B3" s="2317"/>
      <c r="C3" s="2317"/>
      <c r="D3" s="2317"/>
      <c r="E3" s="2317"/>
      <c r="F3" s="2317"/>
      <c r="G3" s="669" t="s">
        <v>21</v>
      </c>
    </row>
    <row r="4" spans="1:12" s="2440" customFormat="1" ht="20.100000000000001" customHeight="1" thickBot="1">
      <c r="A4" s="3416" t="s">
        <v>24</v>
      </c>
      <c r="B4" s="3416"/>
      <c r="C4" s="3416"/>
      <c r="D4" s="3416"/>
      <c r="E4" s="3416"/>
      <c r="F4" s="3416"/>
      <c r="G4" s="3416"/>
    </row>
    <row r="5" spans="1:12" s="2329" customFormat="1" ht="15.75" customHeight="1">
      <c r="A5" s="3438" t="s">
        <v>0</v>
      </c>
      <c r="B5" s="3440" t="s">
        <v>1</v>
      </c>
      <c r="C5" s="3440" t="s">
        <v>5</v>
      </c>
      <c r="D5" s="3421" t="s">
        <v>1249</v>
      </c>
      <c r="E5" s="3419" t="s">
        <v>2</v>
      </c>
      <c r="F5" s="3419"/>
      <c r="G5" s="3442" t="s">
        <v>137</v>
      </c>
    </row>
    <row r="6" spans="1:12" s="2329" customFormat="1" ht="16.5" customHeight="1">
      <c r="A6" s="3439"/>
      <c r="B6" s="3441"/>
      <c r="C6" s="3441"/>
      <c r="D6" s="3422"/>
      <c r="E6" s="2413" t="s">
        <v>20</v>
      </c>
      <c r="F6" s="2413" t="s">
        <v>19</v>
      </c>
      <c r="G6" s="3443"/>
    </row>
    <row r="7" spans="1:12" s="2329" customFormat="1" ht="18" customHeight="1">
      <c r="A7" s="3429">
        <v>700</v>
      </c>
      <c r="B7" s="2441">
        <v>70005</v>
      </c>
      <c r="C7" s="2442">
        <v>6259</v>
      </c>
      <c r="D7" s="2443">
        <f t="shared" ref="D7:D27" si="0">SUM(E7:F7)</f>
        <v>17997168</v>
      </c>
      <c r="E7" s="2444">
        <v>0</v>
      </c>
      <c r="F7" s="2444">
        <v>17997168</v>
      </c>
      <c r="G7" s="3445" t="s">
        <v>1255</v>
      </c>
    </row>
    <row r="8" spans="1:12" s="2329" customFormat="1" ht="18" customHeight="1">
      <c r="A8" s="3435"/>
      <c r="B8" s="2441">
        <v>70095</v>
      </c>
      <c r="C8" s="2441">
        <v>6259</v>
      </c>
      <c r="D8" s="2445">
        <f t="shared" si="0"/>
        <v>674831</v>
      </c>
      <c r="E8" s="2446">
        <v>0</v>
      </c>
      <c r="F8" s="2446">
        <v>674831</v>
      </c>
      <c r="G8" s="3446"/>
    </row>
    <row r="9" spans="1:12" s="2329" customFormat="1" ht="18" customHeight="1">
      <c r="A9" s="2447">
        <v>710</v>
      </c>
      <c r="B9" s="2441">
        <v>71012</v>
      </c>
      <c r="C9" s="2442">
        <v>2057</v>
      </c>
      <c r="D9" s="2443">
        <f t="shared" si="0"/>
        <v>11169431</v>
      </c>
      <c r="E9" s="2444">
        <v>11169431</v>
      </c>
      <c r="F9" s="2444">
        <v>0</v>
      </c>
      <c r="G9" s="3445" t="s">
        <v>1256</v>
      </c>
    </row>
    <row r="10" spans="1:12" s="2329" customFormat="1" ht="18" customHeight="1">
      <c r="A10" s="2447">
        <v>720</v>
      </c>
      <c r="B10" s="2441">
        <v>72095</v>
      </c>
      <c r="C10" s="2441">
        <v>6257</v>
      </c>
      <c r="D10" s="2445">
        <f t="shared" si="0"/>
        <v>28625326</v>
      </c>
      <c r="E10" s="2446">
        <v>0</v>
      </c>
      <c r="F10" s="2446">
        <v>28625326</v>
      </c>
      <c r="G10" s="3446"/>
    </row>
    <row r="11" spans="1:12" s="2329" customFormat="1" ht="25.5">
      <c r="A11" s="2447">
        <v>750</v>
      </c>
      <c r="B11" s="2441">
        <v>75095</v>
      </c>
      <c r="C11" s="2441">
        <v>6259</v>
      </c>
      <c r="D11" s="2445">
        <f t="shared" si="0"/>
        <v>1445771</v>
      </c>
      <c r="E11" s="2446">
        <v>0</v>
      </c>
      <c r="F11" s="2446">
        <v>1445771</v>
      </c>
      <c r="G11" s="2448" t="s">
        <v>1255</v>
      </c>
    </row>
    <row r="12" spans="1:12" s="2329" customFormat="1" ht="18" customHeight="1">
      <c r="A12" s="3430">
        <v>801</v>
      </c>
      <c r="B12" s="3432">
        <v>80195</v>
      </c>
      <c r="C12" s="2449">
        <v>2059</v>
      </c>
      <c r="D12" s="2445">
        <f t="shared" si="0"/>
        <v>1526662</v>
      </c>
      <c r="E12" s="2450">
        <v>1526662</v>
      </c>
      <c r="F12" s="2450">
        <v>0</v>
      </c>
      <c r="G12" s="3445" t="s">
        <v>1255</v>
      </c>
    </row>
    <row r="13" spans="1:12" s="2329" customFormat="1" ht="18" customHeight="1">
      <c r="A13" s="3430"/>
      <c r="B13" s="3432"/>
      <c r="C13" s="2449">
        <v>2009</v>
      </c>
      <c r="D13" s="2445">
        <f t="shared" si="0"/>
        <v>61000</v>
      </c>
      <c r="E13" s="2450">
        <v>61000</v>
      </c>
      <c r="F13" s="2450">
        <v>0</v>
      </c>
      <c r="G13" s="3446"/>
    </row>
    <row r="14" spans="1:12" s="2329" customFormat="1" ht="18" customHeight="1">
      <c r="A14" s="3430"/>
      <c r="B14" s="3432"/>
      <c r="C14" s="2449">
        <v>6209</v>
      </c>
      <c r="D14" s="2445">
        <f t="shared" si="0"/>
        <v>3000</v>
      </c>
      <c r="E14" s="2450">
        <v>0</v>
      </c>
      <c r="F14" s="2450">
        <v>3000</v>
      </c>
      <c r="G14" s="3446"/>
    </row>
    <row r="15" spans="1:12" s="2329" customFormat="1" ht="18" customHeight="1">
      <c r="A15" s="3435"/>
      <c r="B15" s="3436"/>
      <c r="C15" s="2441">
        <v>6259</v>
      </c>
      <c r="D15" s="2445">
        <f t="shared" si="0"/>
        <v>109800</v>
      </c>
      <c r="E15" s="2446">
        <v>0</v>
      </c>
      <c r="F15" s="2446">
        <v>109800</v>
      </c>
      <c r="G15" s="3446"/>
      <c r="L15" s="2440"/>
    </row>
    <row r="16" spans="1:12" s="2329" customFormat="1" ht="18" customHeight="1">
      <c r="A16" s="2451">
        <v>851</v>
      </c>
      <c r="B16" s="2442">
        <v>85111</v>
      </c>
      <c r="C16" s="2441">
        <v>6209</v>
      </c>
      <c r="D16" s="2445">
        <f t="shared" si="0"/>
        <v>5508079</v>
      </c>
      <c r="E16" s="2446">
        <v>0</v>
      </c>
      <c r="F16" s="2446">
        <v>5508079</v>
      </c>
      <c r="G16" s="3446"/>
    </row>
    <row r="17" spans="1:11" s="2329" customFormat="1" ht="18" customHeight="1">
      <c r="A17" s="3429">
        <v>852</v>
      </c>
      <c r="B17" s="3431">
        <v>85295</v>
      </c>
      <c r="C17" s="2441">
        <v>2009</v>
      </c>
      <c r="D17" s="2446">
        <f t="shared" si="0"/>
        <v>103338</v>
      </c>
      <c r="E17" s="2446">
        <v>103338</v>
      </c>
      <c r="F17" s="2445">
        <v>0</v>
      </c>
      <c r="G17" s="3446"/>
      <c r="H17" s="2452"/>
      <c r="I17" s="2390"/>
      <c r="J17" s="2390"/>
    </row>
    <row r="18" spans="1:11" s="2329" customFormat="1" ht="18" customHeight="1">
      <c r="A18" s="3430"/>
      <c r="B18" s="3432"/>
      <c r="C18" s="2441">
        <v>2059</v>
      </c>
      <c r="D18" s="2446">
        <f t="shared" si="0"/>
        <v>2763341</v>
      </c>
      <c r="E18" s="2446">
        <v>2763341</v>
      </c>
      <c r="F18" s="2445">
        <v>0</v>
      </c>
      <c r="G18" s="3446"/>
      <c r="H18" s="2452"/>
      <c r="I18" s="2390"/>
      <c r="J18" s="2390"/>
    </row>
    <row r="19" spans="1:11" s="2329" customFormat="1" ht="18" customHeight="1">
      <c r="A19" s="3435"/>
      <c r="B19" s="3436"/>
      <c r="C19" s="2441">
        <v>6259</v>
      </c>
      <c r="D19" s="2446">
        <f t="shared" si="0"/>
        <v>306755</v>
      </c>
      <c r="E19" s="2446">
        <v>0</v>
      </c>
      <c r="F19" s="2445">
        <v>306755</v>
      </c>
      <c r="G19" s="3446"/>
      <c r="H19" s="2452"/>
      <c r="I19" s="2390"/>
      <c r="J19" s="2390"/>
    </row>
    <row r="20" spans="1:11" s="2329" customFormat="1" ht="18" customHeight="1">
      <c r="A20" s="3429">
        <v>853</v>
      </c>
      <c r="B20" s="3431">
        <v>85395</v>
      </c>
      <c r="C20" s="2441">
        <v>2059</v>
      </c>
      <c r="D20" s="2446">
        <f t="shared" si="0"/>
        <v>1373149</v>
      </c>
      <c r="E20" s="2446">
        <v>1373149</v>
      </c>
      <c r="F20" s="2445">
        <v>0</v>
      </c>
      <c r="G20" s="3446"/>
      <c r="H20" s="2452"/>
      <c r="I20" s="2390"/>
      <c r="J20" s="2390"/>
    </row>
    <row r="21" spans="1:11" s="2329" customFormat="1" ht="18" customHeight="1">
      <c r="A21" s="3435"/>
      <c r="B21" s="3436"/>
      <c r="C21" s="2441">
        <v>6259</v>
      </c>
      <c r="D21" s="2446">
        <f t="shared" si="0"/>
        <v>13827</v>
      </c>
      <c r="E21" s="2453">
        <v>0</v>
      </c>
      <c r="F21" s="2454">
        <v>13827</v>
      </c>
      <c r="G21" s="3447"/>
      <c r="H21" s="2452"/>
      <c r="I21" s="2390"/>
      <c r="J21" s="2390"/>
    </row>
    <row r="22" spans="1:11" s="2329" customFormat="1" ht="25.5">
      <c r="A22" s="2455">
        <v>855</v>
      </c>
      <c r="B22" s="2456">
        <v>85508</v>
      </c>
      <c r="C22" s="2441">
        <v>2057</v>
      </c>
      <c r="D22" s="2446">
        <f>SUM(E22:F22)</f>
        <v>880000</v>
      </c>
      <c r="E22" s="2453">
        <v>880000</v>
      </c>
      <c r="F22" s="2454">
        <v>0</v>
      </c>
      <c r="G22" s="2457" t="s">
        <v>1257</v>
      </c>
      <c r="H22" s="2452"/>
      <c r="I22" s="2390"/>
      <c r="J22" s="2390"/>
    </row>
    <row r="23" spans="1:11" s="2329" customFormat="1" ht="18" customHeight="1">
      <c r="A23" s="3429">
        <v>921</v>
      </c>
      <c r="B23" s="3431">
        <v>92109</v>
      </c>
      <c r="C23" s="2441">
        <v>6220</v>
      </c>
      <c r="D23" s="2446">
        <f t="shared" si="0"/>
        <v>839229</v>
      </c>
      <c r="E23" s="2453">
        <v>0</v>
      </c>
      <c r="F23" s="2454">
        <v>839229</v>
      </c>
      <c r="G23" s="3445" t="s">
        <v>1258</v>
      </c>
      <c r="H23" s="2452"/>
      <c r="I23" s="2390"/>
      <c r="J23" s="2390"/>
    </row>
    <row r="24" spans="1:11" s="2329" customFormat="1" ht="18" customHeight="1">
      <c r="A24" s="3430"/>
      <c r="B24" s="3436"/>
      <c r="C24" s="2441">
        <v>6229</v>
      </c>
      <c r="D24" s="2446">
        <f t="shared" si="0"/>
        <v>3202067</v>
      </c>
      <c r="E24" s="2453">
        <v>0</v>
      </c>
      <c r="F24" s="2454">
        <v>3202067</v>
      </c>
      <c r="G24" s="3447"/>
      <c r="H24" s="2452"/>
      <c r="I24" s="2390"/>
      <c r="J24" s="2390"/>
    </row>
    <row r="25" spans="1:11" s="2329" customFormat="1" ht="18" customHeight="1">
      <c r="A25" s="3430"/>
      <c r="B25" s="2441">
        <v>92118</v>
      </c>
      <c r="C25" s="2441">
        <v>6259</v>
      </c>
      <c r="D25" s="2446">
        <f t="shared" si="0"/>
        <v>113955</v>
      </c>
      <c r="E25" s="2453">
        <v>0</v>
      </c>
      <c r="F25" s="2454">
        <v>113955</v>
      </c>
      <c r="G25" s="3445" t="s">
        <v>1255</v>
      </c>
      <c r="H25" s="2452"/>
      <c r="I25" s="2390"/>
      <c r="J25" s="2390"/>
    </row>
    <row r="26" spans="1:11" s="2329" customFormat="1" ht="18" customHeight="1">
      <c r="A26" s="3430"/>
      <c r="B26" s="2441">
        <v>92120</v>
      </c>
      <c r="C26" s="2441">
        <v>6259</v>
      </c>
      <c r="D26" s="2446">
        <f t="shared" si="0"/>
        <v>93117</v>
      </c>
      <c r="E26" s="2453">
        <v>0</v>
      </c>
      <c r="F26" s="2454">
        <v>93117</v>
      </c>
      <c r="G26" s="3446"/>
      <c r="H26" s="2452"/>
      <c r="I26" s="2390"/>
      <c r="J26" s="2390"/>
    </row>
    <row r="27" spans="1:11" s="2329" customFormat="1" ht="18" customHeight="1">
      <c r="A27" s="3435"/>
      <c r="B27" s="2441">
        <v>92195</v>
      </c>
      <c r="C27" s="2441">
        <v>6259</v>
      </c>
      <c r="D27" s="2446">
        <f t="shared" si="0"/>
        <v>975370</v>
      </c>
      <c r="E27" s="2453">
        <v>0</v>
      </c>
      <c r="F27" s="2454">
        <v>975370</v>
      </c>
      <c r="G27" s="3447"/>
      <c r="H27" s="2452"/>
      <c r="I27" s="2390"/>
      <c r="J27" s="2390"/>
    </row>
    <row r="28" spans="1:11" s="100" customFormat="1" ht="20.100000000000001" customHeight="1" thickBot="1">
      <c r="A28" s="3426" t="s">
        <v>22</v>
      </c>
      <c r="B28" s="3427"/>
      <c r="C28" s="3428"/>
      <c r="D28" s="2458">
        <f>SUM(D7:D27)</f>
        <v>77785216</v>
      </c>
      <c r="E28" s="2458">
        <f t="shared" ref="E28:F28" si="1">SUM(E7:E27)</f>
        <v>17876921</v>
      </c>
      <c r="F28" s="2458">
        <f t="shared" si="1"/>
        <v>59908295</v>
      </c>
      <c r="G28" s="2418"/>
      <c r="H28" s="2459"/>
      <c r="I28" s="2400"/>
      <c r="J28" s="2400"/>
    </row>
    <row r="29" spans="1:11" s="2329" customFormat="1">
      <c r="A29" s="3444"/>
      <c r="B29" s="3444"/>
      <c r="C29" s="3444"/>
      <c r="D29" s="3444"/>
      <c r="E29" s="3444"/>
      <c r="F29" s="3444"/>
      <c r="G29" s="3444"/>
      <c r="H29" s="2452"/>
      <c r="I29" s="2390"/>
      <c r="J29" s="2390"/>
    </row>
    <row r="30" spans="1:11" s="2329" customFormat="1" ht="18" customHeight="1" thickBot="1">
      <c r="A30" s="3416" t="s">
        <v>23</v>
      </c>
      <c r="B30" s="3416"/>
      <c r="C30" s="3416"/>
      <c r="D30" s="3416"/>
      <c r="E30" s="3416"/>
      <c r="F30" s="3416"/>
      <c r="G30" s="3416"/>
      <c r="H30" s="2452"/>
      <c r="I30" s="2390"/>
      <c r="J30" s="2390"/>
      <c r="K30" s="2460"/>
    </row>
    <row r="31" spans="1:11" s="2329" customFormat="1" ht="20.100000000000001" customHeight="1">
      <c r="A31" s="3438" t="s">
        <v>0</v>
      </c>
      <c r="B31" s="3440" t="s">
        <v>1</v>
      </c>
      <c r="C31" s="3440" t="s">
        <v>5</v>
      </c>
      <c r="D31" s="3421" t="s">
        <v>1249</v>
      </c>
      <c r="E31" s="3419" t="s">
        <v>2</v>
      </c>
      <c r="F31" s="3419"/>
      <c r="G31" s="3442" t="s">
        <v>137</v>
      </c>
      <c r="H31" s="2452"/>
      <c r="I31" s="2390"/>
      <c r="J31" s="2390"/>
    </row>
    <row r="32" spans="1:11" s="2329" customFormat="1" ht="20.100000000000001" customHeight="1">
      <c r="A32" s="3439"/>
      <c r="B32" s="3441"/>
      <c r="C32" s="3441"/>
      <c r="D32" s="3422"/>
      <c r="E32" s="2413" t="s">
        <v>20</v>
      </c>
      <c r="F32" s="2413" t="s">
        <v>19</v>
      </c>
      <c r="G32" s="3443"/>
      <c r="H32" s="2390"/>
      <c r="I32" s="2390"/>
      <c r="J32" s="2390"/>
    </row>
    <row r="33" spans="1:10" s="2329" customFormat="1" ht="18" customHeight="1">
      <c r="A33" s="3429">
        <v>150</v>
      </c>
      <c r="B33" s="3431">
        <v>15011</v>
      </c>
      <c r="C33" s="2441">
        <v>2009</v>
      </c>
      <c r="D33" s="2446">
        <f>SUM(E33:F33)</f>
        <v>6044903</v>
      </c>
      <c r="E33" s="2445">
        <v>6044903</v>
      </c>
      <c r="F33" s="2461">
        <v>0</v>
      </c>
      <c r="G33" s="3433" t="s">
        <v>1255</v>
      </c>
      <c r="H33" s="2390"/>
      <c r="I33" s="2390"/>
      <c r="J33" s="2390"/>
    </row>
    <row r="34" spans="1:10" s="2329" customFormat="1" ht="18" customHeight="1">
      <c r="A34" s="3430"/>
      <c r="B34" s="3432"/>
      <c r="C34" s="2449">
        <v>6209</v>
      </c>
      <c r="D34" s="2446">
        <f>SUM(E34:F34)</f>
        <v>6715709</v>
      </c>
      <c r="E34" s="2445">
        <v>0</v>
      </c>
      <c r="F34" s="2461">
        <v>6715709</v>
      </c>
      <c r="G34" s="3434"/>
      <c r="H34" s="2390"/>
      <c r="I34" s="2390"/>
      <c r="J34" s="2390"/>
    </row>
    <row r="35" spans="1:10" s="2329" customFormat="1" ht="41.25" customHeight="1">
      <c r="A35" s="3430"/>
      <c r="B35" s="3432"/>
      <c r="C35" s="2449">
        <v>2007</v>
      </c>
      <c r="D35" s="2446">
        <f t="shared" ref="D35" si="2">SUM(E35:F35)</f>
        <v>11409400</v>
      </c>
      <c r="E35" s="2445">
        <v>11409400</v>
      </c>
      <c r="F35" s="2461">
        <v>0</v>
      </c>
      <c r="G35" s="2462" t="s">
        <v>1259</v>
      </c>
      <c r="H35" s="2390"/>
      <c r="I35" s="2390"/>
      <c r="J35" s="2390"/>
    </row>
    <row r="36" spans="1:10" s="2329" customFormat="1" ht="18" customHeight="1">
      <c r="A36" s="3429">
        <v>801</v>
      </c>
      <c r="B36" s="3431">
        <v>80195</v>
      </c>
      <c r="C36" s="2449">
        <v>2009</v>
      </c>
      <c r="D36" s="2450">
        <f>SUM(E36:F36)</f>
        <v>2953218</v>
      </c>
      <c r="E36" s="2446">
        <v>2953218</v>
      </c>
      <c r="F36" s="2445">
        <v>0</v>
      </c>
      <c r="G36" s="3433" t="s">
        <v>1255</v>
      </c>
      <c r="H36" s="2390"/>
      <c r="I36" s="2390"/>
      <c r="J36" s="2390"/>
    </row>
    <row r="37" spans="1:10" s="2329" customFormat="1" ht="18" customHeight="1">
      <c r="A37" s="3435"/>
      <c r="B37" s="3436"/>
      <c r="C37" s="2449">
        <v>6209</v>
      </c>
      <c r="D37" s="2450">
        <f>SUM(E37:F37)</f>
        <v>123348</v>
      </c>
      <c r="E37" s="2446">
        <v>0</v>
      </c>
      <c r="F37" s="2445">
        <v>123348</v>
      </c>
      <c r="G37" s="3437"/>
      <c r="H37" s="2390"/>
      <c r="I37" s="2390"/>
      <c r="J37" s="2390"/>
    </row>
    <row r="38" spans="1:10" s="2329" customFormat="1" ht="18" customHeight="1">
      <c r="A38" s="3429">
        <v>852</v>
      </c>
      <c r="B38" s="3431">
        <v>85295</v>
      </c>
      <c r="C38" s="2449">
        <v>2009</v>
      </c>
      <c r="D38" s="2450">
        <f t="shared" ref="D38:D39" si="3">SUM(E38:F38)</f>
        <v>10594541</v>
      </c>
      <c r="E38" s="2446">
        <v>10594541</v>
      </c>
      <c r="F38" s="2445">
        <v>0</v>
      </c>
      <c r="G38" s="3437"/>
      <c r="H38" s="2390"/>
      <c r="I38" s="2390"/>
      <c r="J38" s="2390"/>
    </row>
    <row r="39" spans="1:10" s="2329" customFormat="1" ht="18" customHeight="1">
      <c r="A39" s="3435"/>
      <c r="B39" s="3436"/>
      <c r="C39" s="2449">
        <v>6209</v>
      </c>
      <c r="D39" s="2450">
        <f t="shared" si="3"/>
        <v>677901</v>
      </c>
      <c r="E39" s="2446">
        <v>0</v>
      </c>
      <c r="F39" s="2445">
        <v>677901</v>
      </c>
      <c r="G39" s="3437"/>
      <c r="H39" s="2390"/>
      <c r="I39" s="2390"/>
      <c r="J39" s="2390"/>
    </row>
    <row r="40" spans="1:10" s="2329" customFormat="1" ht="18" customHeight="1">
      <c r="A40" s="2447">
        <v>853</v>
      </c>
      <c r="B40" s="2441">
        <v>85395</v>
      </c>
      <c r="C40" s="2441">
        <v>2009</v>
      </c>
      <c r="D40" s="2446">
        <f>SUM(E40:F40)</f>
        <v>6527757</v>
      </c>
      <c r="E40" s="2446">
        <v>6527757</v>
      </c>
      <c r="F40" s="2445">
        <v>0</v>
      </c>
      <c r="G40" s="3434"/>
      <c r="H40" s="2390"/>
      <c r="I40" s="2390"/>
      <c r="J40" s="2390"/>
    </row>
    <row r="41" spans="1:10" s="2438" customFormat="1" ht="20.100000000000001" customHeight="1" thickBot="1">
      <c r="A41" s="3426" t="s">
        <v>22</v>
      </c>
      <c r="B41" s="3427"/>
      <c r="C41" s="3428"/>
      <c r="D41" s="2458">
        <f>SUM(D33:D40)</f>
        <v>45046777</v>
      </c>
      <c r="E41" s="2458">
        <f t="shared" ref="E41:F41" si="4">SUM(E33:E40)</f>
        <v>37529819</v>
      </c>
      <c r="F41" s="2458">
        <f t="shared" si="4"/>
        <v>7516958</v>
      </c>
      <c r="G41" s="2418"/>
    </row>
    <row r="42" spans="1:10">
      <c r="A42" s="100"/>
      <c r="B42" s="2463"/>
      <c r="C42" s="2464"/>
      <c r="D42" s="2400"/>
      <c r="E42" s="2400"/>
      <c r="F42" s="2400"/>
      <c r="G42" s="100"/>
    </row>
    <row r="43" spans="1:10">
      <c r="C43" s="2465"/>
      <c r="D43" s="2"/>
      <c r="E43" s="2"/>
      <c r="F43" s="2"/>
    </row>
    <row r="44" spans="1:10">
      <c r="C44" s="2"/>
      <c r="D44" s="2"/>
      <c r="E44" s="2"/>
      <c r="F44" s="2"/>
    </row>
    <row r="45" spans="1:10">
      <c r="C45" s="2"/>
      <c r="D45" s="2"/>
      <c r="E45" s="2"/>
      <c r="F45" s="2"/>
    </row>
    <row r="46" spans="1:10">
      <c r="C46" s="2"/>
    </row>
  </sheetData>
  <mergeCells count="40">
    <mergeCell ref="A2:G2"/>
    <mergeCell ref="A4:G4"/>
    <mergeCell ref="A5:A6"/>
    <mergeCell ref="B5:B6"/>
    <mergeCell ref="C5:C6"/>
    <mergeCell ref="D5:D6"/>
    <mergeCell ref="E5:F5"/>
    <mergeCell ref="G5:G6"/>
    <mergeCell ref="A29:G29"/>
    <mergeCell ref="A7:A8"/>
    <mergeCell ref="G7:G8"/>
    <mergeCell ref="G9:G10"/>
    <mergeCell ref="A12:A15"/>
    <mergeCell ref="B12:B15"/>
    <mergeCell ref="G12:G21"/>
    <mergeCell ref="A17:A19"/>
    <mergeCell ref="B17:B19"/>
    <mergeCell ref="A20:A21"/>
    <mergeCell ref="B20:B21"/>
    <mergeCell ref="A23:A27"/>
    <mergeCell ref="B23:B24"/>
    <mergeCell ref="G23:G24"/>
    <mergeCell ref="G25:G27"/>
    <mergeCell ref="A28:C28"/>
    <mergeCell ref="A30:G30"/>
    <mergeCell ref="A31:A32"/>
    <mergeCell ref="B31:B32"/>
    <mergeCell ref="C31:C32"/>
    <mergeCell ref="D31:D32"/>
    <mergeCell ref="E31:F31"/>
    <mergeCell ref="G31:G32"/>
    <mergeCell ref="A41:C41"/>
    <mergeCell ref="A33:A35"/>
    <mergeCell ref="B33:B35"/>
    <mergeCell ref="G33:G34"/>
    <mergeCell ref="A36:A37"/>
    <mergeCell ref="B36:B37"/>
    <mergeCell ref="G36:G40"/>
    <mergeCell ref="A38:A39"/>
    <mergeCell ref="B38:B39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5" orientation="landscape" r:id="rId1"/>
  <headerFooter alignWithMargins="0"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3"/>
  <sheetViews>
    <sheetView view="pageBreakPreview" zoomScaleSheetLayoutView="100" workbookViewId="0">
      <selection activeCell="M10" sqref="M10"/>
    </sheetView>
  </sheetViews>
  <sheetFormatPr defaultRowHeight="12.75"/>
  <cols>
    <col min="1" max="6" width="12.7109375" style="1" customWidth="1"/>
    <col min="7" max="7" width="60.7109375" style="1" customWidth="1"/>
    <col min="8" max="8" width="10.140625" style="1" bestFit="1" customWidth="1"/>
    <col min="9" max="9" width="10.7109375" style="1" bestFit="1" customWidth="1"/>
    <col min="10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0" ht="50.1" customHeight="1">
      <c r="A1" s="3425"/>
      <c r="B1" s="3425"/>
      <c r="C1" s="756"/>
      <c r="D1" s="756"/>
      <c r="E1" s="756"/>
      <c r="F1" s="756"/>
      <c r="G1" s="2410" t="s">
        <v>1286</v>
      </c>
    </row>
    <row r="2" spans="1:10" s="100" customFormat="1" ht="39" customHeight="1">
      <c r="A2" s="3250" t="s">
        <v>1266</v>
      </c>
      <c r="B2" s="3250"/>
      <c r="C2" s="3250"/>
      <c r="D2" s="3250"/>
      <c r="E2" s="3250"/>
      <c r="F2" s="3250"/>
      <c r="G2" s="3250"/>
    </row>
    <row r="3" spans="1:10" s="100" customFormat="1" ht="15">
      <c r="A3" s="2317"/>
      <c r="B3" s="2317"/>
      <c r="C3" s="2317"/>
      <c r="D3" s="2317"/>
      <c r="E3" s="2317"/>
      <c r="F3" s="2317"/>
      <c r="G3" s="669" t="s">
        <v>21</v>
      </c>
    </row>
    <row r="4" spans="1:10" s="2471" customFormat="1" ht="20.100000000000001" customHeight="1" thickBot="1">
      <c r="A4" s="3416" t="s">
        <v>1261</v>
      </c>
      <c r="B4" s="3416"/>
      <c r="C4" s="3416"/>
      <c r="D4" s="3416"/>
      <c r="E4" s="3416"/>
      <c r="F4" s="3416"/>
      <c r="G4" s="3416"/>
      <c r="H4" s="2472"/>
      <c r="I4" s="2412"/>
      <c r="J4" s="2412"/>
    </row>
    <row r="5" spans="1:10" s="2466" customFormat="1" ht="15" customHeight="1">
      <c r="A5" s="3417" t="s">
        <v>0</v>
      </c>
      <c r="B5" s="3419" t="s">
        <v>1</v>
      </c>
      <c r="C5" s="3419" t="s">
        <v>5</v>
      </c>
      <c r="D5" s="3421" t="s">
        <v>1249</v>
      </c>
      <c r="E5" s="3419" t="s">
        <v>2</v>
      </c>
      <c r="F5" s="3419"/>
      <c r="G5" s="3423" t="s">
        <v>137</v>
      </c>
      <c r="H5" s="2468"/>
      <c r="I5" s="2467"/>
      <c r="J5" s="2467"/>
    </row>
    <row r="6" spans="1:10" s="2466" customFormat="1" ht="20.100000000000001" customHeight="1">
      <c r="A6" s="3418"/>
      <c r="B6" s="3420"/>
      <c r="C6" s="3420"/>
      <c r="D6" s="3422"/>
      <c r="E6" s="2413" t="s">
        <v>20</v>
      </c>
      <c r="F6" s="2413" t="s">
        <v>19</v>
      </c>
      <c r="G6" s="3424"/>
      <c r="H6" s="2468"/>
      <c r="I6" s="2467"/>
      <c r="J6" s="2467"/>
    </row>
    <row r="7" spans="1:10" s="2466" customFormat="1" ht="25.5">
      <c r="A7" s="2422">
        <v>600</v>
      </c>
      <c r="B7" s="2414">
        <v>60013</v>
      </c>
      <c r="C7" s="2414">
        <v>6208</v>
      </c>
      <c r="D7" s="2415">
        <f>SUM(E7:F7)</f>
        <v>4501041</v>
      </c>
      <c r="E7" s="2470">
        <v>0</v>
      </c>
      <c r="F7" s="2415">
        <v>4501041</v>
      </c>
      <c r="G7" s="2469" t="s">
        <v>1265</v>
      </c>
      <c r="H7" s="2468"/>
      <c r="I7" s="2467"/>
      <c r="J7" s="2467"/>
    </row>
    <row r="8" spans="1:10" s="100" customFormat="1" ht="18.75" customHeight="1" thickBot="1">
      <c r="A8" s="3414" t="s">
        <v>22</v>
      </c>
      <c r="B8" s="3415"/>
      <c r="C8" s="3415"/>
      <c r="D8" s="2417">
        <f>SUM(D7:D7)</f>
        <v>4501041</v>
      </c>
      <c r="E8" s="2417">
        <f>SUM(E7:E7)</f>
        <v>0</v>
      </c>
      <c r="F8" s="2417">
        <f>SUM(F7:F7)</f>
        <v>4501041</v>
      </c>
      <c r="G8" s="2418"/>
    </row>
    <row r="9" spans="1:10" s="2329" customFormat="1">
      <c r="A9" s="2475"/>
      <c r="B9" s="2475"/>
      <c r="C9" s="2475"/>
      <c r="D9" s="2474"/>
      <c r="E9" s="2474"/>
      <c r="F9" s="2474"/>
      <c r="G9" s="2473"/>
      <c r="H9" s="2390"/>
      <c r="I9" s="2390"/>
      <c r="J9" s="2390"/>
    </row>
    <row r="10" spans="1:10" s="100" customFormat="1" ht="39" customHeight="1">
      <c r="A10" s="3250" t="s">
        <v>1264</v>
      </c>
      <c r="B10" s="3250"/>
      <c r="C10" s="3250"/>
      <c r="D10" s="3250"/>
      <c r="E10" s="3250"/>
      <c r="F10" s="3250"/>
      <c r="G10" s="3250"/>
    </row>
    <row r="11" spans="1:10" s="100" customFormat="1" ht="15">
      <c r="A11" s="2317"/>
      <c r="B11" s="2317"/>
      <c r="C11" s="2317"/>
      <c r="D11" s="2317"/>
      <c r="E11" s="2317"/>
      <c r="F11" s="2317"/>
      <c r="G11" s="669" t="s">
        <v>21</v>
      </c>
    </row>
    <row r="12" spans="1:10" s="2471" customFormat="1" ht="20.100000000000001" customHeight="1" thickBot="1">
      <c r="A12" s="3416" t="s">
        <v>1261</v>
      </c>
      <c r="B12" s="3416"/>
      <c r="C12" s="3416"/>
      <c r="D12" s="3416"/>
      <c r="E12" s="3416"/>
      <c r="F12" s="3416"/>
      <c r="G12" s="3416"/>
      <c r="H12" s="2472"/>
      <c r="I12" s="2412"/>
      <c r="J12" s="2412"/>
    </row>
    <row r="13" spans="1:10" s="2466" customFormat="1" ht="15" customHeight="1">
      <c r="A13" s="3417" t="s">
        <v>0</v>
      </c>
      <c r="B13" s="3419" t="s">
        <v>1</v>
      </c>
      <c r="C13" s="3419" t="s">
        <v>5</v>
      </c>
      <c r="D13" s="3421" t="s">
        <v>1249</v>
      </c>
      <c r="E13" s="3419" t="s">
        <v>2</v>
      </c>
      <c r="F13" s="3419"/>
      <c r="G13" s="3423" t="s">
        <v>137</v>
      </c>
      <c r="H13" s="2468"/>
      <c r="I13" s="2467"/>
      <c r="J13" s="2467"/>
    </row>
    <row r="14" spans="1:10" s="2466" customFormat="1" ht="20.100000000000001" customHeight="1">
      <c r="A14" s="3418"/>
      <c r="B14" s="3420"/>
      <c r="C14" s="3420"/>
      <c r="D14" s="3422"/>
      <c r="E14" s="2413" t="s">
        <v>20</v>
      </c>
      <c r="F14" s="2413" t="s">
        <v>19</v>
      </c>
      <c r="G14" s="3424"/>
      <c r="H14" s="2468"/>
      <c r="I14" s="2467"/>
      <c r="J14" s="2467"/>
    </row>
    <row r="15" spans="1:10" s="2466" customFormat="1" ht="25.5">
      <c r="A15" s="2422">
        <v>750</v>
      </c>
      <c r="B15" s="2414">
        <v>75075</v>
      </c>
      <c r="C15" s="2414">
        <v>2008</v>
      </c>
      <c r="D15" s="2415">
        <f>SUM(E15:F15)</f>
        <v>13310</v>
      </c>
      <c r="E15" s="2470">
        <v>13310</v>
      </c>
      <c r="F15" s="2415">
        <v>0</v>
      </c>
      <c r="G15" s="2469" t="s">
        <v>1263</v>
      </c>
      <c r="H15" s="2468"/>
      <c r="I15" s="2467"/>
      <c r="J15" s="2467"/>
    </row>
    <row r="16" spans="1:10" s="100" customFormat="1" ht="18.75" customHeight="1" thickBot="1">
      <c r="A16" s="3414" t="s">
        <v>22</v>
      </c>
      <c r="B16" s="3415"/>
      <c r="C16" s="3415"/>
      <c r="D16" s="2417">
        <f>SUM(D15:D15)</f>
        <v>13310</v>
      </c>
      <c r="E16" s="2417">
        <f>SUM(E15:E15)</f>
        <v>13310</v>
      </c>
      <c r="F16" s="2417">
        <f>SUM(F15:F15)</f>
        <v>0</v>
      </c>
      <c r="G16" s="2418"/>
    </row>
    <row r="17" spans="1:10" s="2329" customFormat="1">
      <c r="A17" s="2475"/>
      <c r="B17" s="2475"/>
      <c r="C17" s="2475"/>
      <c r="D17" s="2474"/>
      <c r="E17" s="2474"/>
      <c r="F17" s="2474"/>
      <c r="G17" s="2473"/>
      <c r="H17" s="2390"/>
      <c r="I17" s="2390"/>
      <c r="J17" s="2390"/>
    </row>
    <row r="18" spans="1:10" s="100" customFormat="1" ht="39" customHeight="1">
      <c r="A18" s="3250" t="s">
        <v>1262</v>
      </c>
      <c r="B18" s="3250"/>
      <c r="C18" s="3250"/>
      <c r="D18" s="3250"/>
      <c r="E18" s="3250"/>
      <c r="F18" s="3250"/>
      <c r="G18" s="3250"/>
    </row>
    <row r="19" spans="1:10" s="100" customFormat="1" ht="15">
      <c r="A19" s="2317"/>
      <c r="B19" s="2317"/>
      <c r="C19" s="2317"/>
      <c r="D19" s="2317"/>
      <c r="E19" s="2317"/>
      <c r="F19" s="2317"/>
      <c r="G19" s="669" t="s">
        <v>21</v>
      </c>
    </row>
    <row r="20" spans="1:10" s="2471" customFormat="1" ht="20.100000000000001" customHeight="1" thickBot="1">
      <c r="A20" s="3416" t="s">
        <v>1261</v>
      </c>
      <c r="B20" s="3416"/>
      <c r="C20" s="3416"/>
      <c r="D20" s="3416"/>
      <c r="E20" s="3416"/>
      <c r="F20" s="3416"/>
      <c r="G20" s="3416"/>
      <c r="H20" s="2472"/>
      <c r="I20" s="2412"/>
      <c r="J20" s="2412"/>
    </row>
    <row r="21" spans="1:10" s="2466" customFormat="1" ht="15" customHeight="1">
      <c r="A21" s="3417" t="s">
        <v>0</v>
      </c>
      <c r="B21" s="3419" t="s">
        <v>1</v>
      </c>
      <c r="C21" s="3419" t="s">
        <v>5</v>
      </c>
      <c r="D21" s="3421" t="s">
        <v>1249</v>
      </c>
      <c r="E21" s="3419" t="s">
        <v>2</v>
      </c>
      <c r="F21" s="3419"/>
      <c r="G21" s="3423" t="s">
        <v>137</v>
      </c>
      <c r="H21" s="2468"/>
      <c r="I21" s="2467"/>
      <c r="J21" s="2467"/>
    </row>
    <row r="22" spans="1:10" s="2466" customFormat="1" ht="20.100000000000001" customHeight="1">
      <c r="A22" s="3418"/>
      <c r="B22" s="3420"/>
      <c r="C22" s="3420"/>
      <c r="D22" s="3422"/>
      <c r="E22" s="2413" t="s">
        <v>20</v>
      </c>
      <c r="F22" s="2413" t="s">
        <v>19</v>
      </c>
      <c r="G22" s="3424"/>
      <c r="H22" s="2468"/>
      <c r="I22" s="2467"/>
      <c r="J22" s="2467"/>
    </row>
    <row r="23" spans="1:10" s="2466" customFormat="1" ht="38.25">
      <c r="A23" s="2422">
        <v>630</v>
      </c>
      <c r="B23" s="2414">
        <v>63095</v>
      </c>
      <c r="C23" s="2414">
        <v>2005</v>
      </c>
      <c r="D23" s="2415">
        <f>SUM(E23:F23)</f>
        <v>860038</v>
      </c>
      <c r="E23" s="2470">
        <v>860038</v>
      </c>
      <c r="F23" s="2415">
        <v>0</v>
      </c>
      <c r="G23" s="2469" t="s">
        <v>1260</v>
      </c>
      <c r="H23" s="2468"/>
      <c r="I23" s="2467"/>
      <c r="J23" s="2467"/>
    </row>
    <row r="24" spans="1:10" s="100" customFormat="1" ht="18.75" customHeight="1" thickBot="1">
      <c r="A24" s="3414" t="s">
        <v>22</v>
      </c>
      <c r="B24" s="3415"/>
      <c r="C24" s="3415"/>
      <c r="D24" s="2417">
        <f>SUM(D23:D23)</f>
        <v>860038</v>
      </c>
      <c r="E24" s="2417">
        <f>SUM(E23:E23)</f>
        <v>860038</v>
      </c>
      <c r="F24" s="2417">
        <f>SUM(F23:F23)</f>
        <v>0</v>
      </c>
      <c r="G24" s="2418"/>
    </row>
    <row r="25" spans="1:10">
      <c r="A25" s="2424"/>
      <c r="B25" s="2425"/>
      <c r="C25" s="2426"/>
      <c r="D25" s="2426"/>
      <c r="E25" s="2426"/>
      <c r="F25" s="2426"/>
      <c r="G25" s="2427"/>
      <c r="H25" s="2428"/>
      <c r="I25" s="2"/>
      <c r="J25" s="2"/>
    </row>
    <row r="26" spans="1:10">
      <c r="A26" s="2424"/>
      <c r="B26" s="2425"/>
      <c r="C26" s="2426"/>
      <c r="D26" s="2429"/>
      <c r="E26" s="2429"/>
      <c r="F26" s="2429"/>
      <c r="G26" s="2430"/>
      <c r="H26" s="2428"/>
      <c r="I26" s="2"/>
      <c r="J26" s="2"/>
    </row>
    <row r="27" spans="1:10">
      <c r="A27" s="2431"/>
      <c r="B27" s="2425"/>
      <c r="C27" s="2426"/>
      <c r="D27" s="2426"/>
      <c r="E27" s="2426"/>
      <c r="F27" s="2426"/>
      <c r="G27" s="2432"/>
      <c r="H27" s="2428"/>
      <c r="I27" s="2"/>
      <c r="J27" s="2"/>
    </row>
    <row r="28" spans="1:10">
      <c r="A28" s="2431"/>
      <c r="B28" s="2425"/>
      <c r="C28" s="2426"/>
      <c r="D28" s="2426"/>
      <c r="E28" s="2433"/>
      <c r="F28" s="2329"/>
      <c r="G28" s="2432"/>
      <c r="H28" s="2428"/>
      <c r="I28" s="2"/>
      <c r="J28" s="2"/>
    </row>
    <row r="29" spans="1:10">
      <c r="A29" s="2431"/>
      <c r="B29" s="2425"/>
      <c r="C29" s="2426"/>
      <c r="D29" s="2426"/>
      <c r="E29" s="2426"/>
      <c r="F29" s="2426"/>
      <c r="G29" s="2432"/>
      <c r="H29" s="2428"/>
      <c r="I29" s="2"/>
      <c r="J29" s="2"/>
    </row>
    <row r="30" spans="1:10" s="2438" customFormat="1">
      <c r="A30" s="2434"/>
      <c r="B30" s="2425"/>
      <c r="C30" s="2435"/>
      <c r="D30" s="2435"/>
      <c r="E30" s="2433"/>
      <c r="F30" s="2432"/>
      <c r="G30" s="2436"/>
      <c r="H30" s="2437"/>
      <c r="I30" s="2402"/>
      <c r="J30" s="2402"/>
    </row>
    <row r="31" spans="1:10">
      <c r="A31" s="2433"/>
      <c r="B31" s="2433"/>
      <c r="C31" s="2433"/>
      <c r="D31" s="2439"/>
      <c r="E31" s="2426"/>
      <c r="F31" s="2426"/>
      <c r="G31" s="2433"/>
      <c r="H31" s="4"/>
      <c r="I31" s="4"/>
    </row>
    <row r="32" spans="1:10">
      <c r="G32" s="4"/>
      <c r="H32" s="4"/>
      <c r="I32" s="4"/>
    </row>
    <row r="33" spans="5:6">
      <c r="E33" s="2"/>
      <c r="F33" s="2"/>
    </row>
  </sheetData>
  <mergeCells count="28">
    <mergeCell ref="A18:G18"/>
    <mergeCell ref="A24:C24"/>
    <mergeCell ref="A16:C16"/>
    <mergeCell ref="A20:G20"/>
    <mergeCell ref="A21:A22"/>
    <mergeCell ref="B21:B22"/>
    <mergeCell ref="C21:C22"/>
    <mergeCell ref="D21:D22"/>
    <mergeCell ref="E21:F21"/>
    <mergeCell ref="G21:G22"/>
    <mergeCell ref="A1:B1"/>
    <mergeCell ref="E5:F5"/>
    <mergeCell ref="A2:G2"/>
    <mergeCell ref="A4:G4"/>
    <mergeCell ref="A5:A6"/>
    <mergeCell ref="B5:B6"/>
    <mergeCell ref="C5:C6"/>
    <mergeCell ref="D5:D6"/>
    <mergeCell ref="G5:G6"/>
    <mergeCell ref="A8:C8"/>
    <mergeCell ref="A10:G10"/>
    <mergeCell ref="A12:G12"/>
    <mergeCell ref="A13:A14"/>
    <mergeCell ref="B13:B14"/>
    <mergeCell ref="C13:C14"/>
    <mergeCell ref="D13:D14"/>
    <mergeCell ref="E13:F13"/>
    <mergeCell ref="G13:G1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5" orientation="landscape" r:id="rId1"/>
  <headerFooter alignWithMargins="0"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H263"/>
  <sheetViews>
    <sheetView view="pageBreakPreview" zoomScale="120" zoomScaleNormal="100" zoomScaleSheetLayoutView="120" workbookViewId="0">
      <selection activeCell="F2" sqref="F2"/>
    </sheetView>
  </sheetViews>
  <sheetFormatPr defaultRowHeight="12.75"/>
  <cols>
    <col min="1" max="1" width="6.140625" style="666" customWidth="1"/>
    <col min="2" max="3" width="8.85546875" style="666" customWidth="1"/>
    <col min="4" max="4" width="43.42578125" style="666" customWidth="1"/>
    <col min="5" max="5" width="11.28515625" style="666" customWidth="1"/>
    <col min="6" max="6" width="11.5703125" style="666" customWidth="1"/>
    <col min="7" max="7" width="9.140625" style="666"/>
    <col min="8" max="8" width="8.85546875" style="667" customWidth="1"/>
    <col min="9" max="16384" width="9.140625" style="666"/>
  </cols>
  <sheetData>
    <row r="1" spans="1:8" ht="66" customHeight="1">
      <c r="A1" s="34"/>
      <c r="B1" s="34"/>
      <c r="C1" s="665"/>
      <c r="D1" s="3448" t="s">
        <v>1287</v>
      </c>
      <c r="E1" s="3449"/>
    </row>
    <row r="2" spans="1:8" ht="64.5" customHeight="1">
      <c r="A2" s="3250" t="s">
        <v>932</v>
      </c>
      <c r="B2" s="3250"/>
      <c r="C2" s="3250"/>
      <c r="D2" s="3250"/>
      <c r="E2" s="3250"/>
      <c r="F2" s="668"/>
      <c r="G2" s="668"/>
    </row>
    <row r="3" spans="1:8" s="160" customFormat="1" ht="8.25" customHeight="1">
      <c r="A3" s="755"/>
      <c r="B3" s="755"/>
      <c r="C3" s="755"/>
      <c r="D3" s="755"/>
      <c r="E3" s="669"/>
      <c r="H3" s="181"/>
    </row>
    <row r="4" spans="1:8" ht="40.5" customHeight="1">
      <c r="A4" s="3450" t="s">
        <v>933</v>
      </c>
      <c r="B4" s="3451"/>
      <c r="C4" s="3451"/>
      <c r="D4" s="3451"/>
      <c r="E4" s="3452"/>
    </row>
    <row r="5" spans="1:8" ht="13.5" customHeight="1" thickBot="1">
      <c r="A5" s="3453" t="s">
        <v>21</v>
      </c>
      <c r="B5" s="3453"/>
      <c r="C5" s="3453"/>
      <c r="D5" s="3453"/>
      <c r="E5" s="3453"/>
    </row>
    <row r="6" spans="1:8" ht="18.75" customHeight="1" thickBot="1">
      <c r="A6" s="670" t="s">
        <v>0</v>
      </c>
      <c r="B6" s="671" t="s">
        <v>1</v>
      </c>
      <c r="C6" s="671" t="s">
        <v>5</v>
      </c>
      <c r="D6" s="671" t="s">
        <v>64</v>
      </c>
      <c r="E6" s="672" t="s">
        <v>76</v>
      </c>
    </row>
    <row r="7" spans="1:8" ht="18.75" customHeight="1">
      <c r="A7" s="3454" t="s">
        <v>109</v>
      </c>
      <c r="B7" s="3457" t="s">
        <v>216</v>
      </c>
      <c r="C7" s="3458"/>
      <c r="D7" s="3459"/>
      <c r="E7" s="673">
        <f>SUM(E8)</f>
        <v>300000</v>
      </c>
      <c r="G7" s="667"/>
    </row>
    <row r="8" spans="1:8" s="667" customFormat="1">
      <c r="A8" s="3455"/>
      <c r="B8" s="3460" t="s">
        <v>111</v>
      </c>
      <c r="C8" s="3461" t="s">
        <v>239</v>
      </c>
      <c r="D8" s="3461"/>
      <c r="E8" s="770">
        <f>SUM(E9)</f>
        <v>300000</v>
      </c>
      <c r="F8" s="666"/>
      <c r="G8" s="666"/>
    </row>
    <row r="9" spans="1:8" s="667" customFormat="1">
      <c r="A9" s="3456"/>
      <c r="B9" s="3460"/>
      <c r="C9" s="771">
        <v>2210</v>
      </c>
      <c r="D9" s="772"/>
      <c r="E9" s="773">
        <v>300000</v>
      </c>
      <c r="F9" s="666"/>
      <c r="G9" s="666"/>
    </row>
    <row r="10" spans="1:8" s="667" customFormat="1" ht="18.75" customHeight="1">
      <c r="A10" s="3462" t="s">
        <v>7</v>
      </c>
      <c r="B10" s="3463" t="s">
        <v>134</v>
      </c>
      <c r="C10" s="3464"/>
      <c r="D10" s="3465"/>
      <c r="E10" s="774">
        <f>E11+E13</f>
        <v>55169000</v>
      </c>
      <c r="F10" s="666"/>
    </row>
    <row r="11" spans="1:8" s="667" customFormat="1">
      <c r="A11" s="3462"/>
      <c r="B11" s="3460" t="s">
        <v>8</v>
      </c>
      <c r="C11" s="3461" t="s">
        <v>266</v>
      </c>
      <c r="D11" s="3461"/>
      <c r="E11" s="770">
        <f>SUM(E12)</f>
        <v>55000000</v>
      </c>
      <c r="F11" s="666"/>
      <c r="G11" s="666"/>
    </row>
    <row r="12" spans="1:8" s="667" customFormat="1">
      <c r="A12" s="3462"/>
      <c r="B12" s="3460"/>
      <c r="C12" s="771">
        <v>2210</v>
      </c>
      <c r="D12" s="772"/>
      <c r="E12" s="773">
        <v>55000000</v>
      </c>
      <c r="F12" s="666"/>
      <c r="G12" s="666"/>
    </row>
    <row r="13" spans="1:8" s="667" customFormat="1">
      <c r="A13" s="3462"/>
      <c r="B13" s="3460" t="s">
        <v>645</v>
      </c>
      <c r="C13" s="3461" t="s">
        <v>239</v>
      </c>
      <c r="D13" s="3461"/>
      <c r="E13" s="770">
        <f>SUM(E14)</f>
        <v>169000</v>
      </c>
      <c r="F13" s="666"/>
      <c r="G13" s="666"/>
    </row>
    <row r="14" spans="1:8" s="667" customFormat="1">
      <c r="A14" s="3462"/>
      <c r="B14" s="3460"/>
      <c r="C14" s="771">
        <v>2210</v>
      </c>
      <c r="D14" s="772"/>
      <c r="E14" s="773">
        <v>169000</v>
      </c>
      <c r="F14" s="666"/>
      <c r="G14" s="666"/>
    </row>
    <row r="15" spans="1:8" s="667" customFormat="1" ht="19.5" customHeight="1">
      <c r="A15" s="3466" t="s">
        <v>114</v>
      </c>
      <c r="B15" s="3463" t="s">
        <v>283</v>
      </c>
      <c r="C15" s="3464"/>
      <c r="D15" s="3465"/>
      <c r="E15" s="774">
        <f>E16</f>
        <v>36000</v>
      </c>
      <c r="F15" s="666"/>
    </row>
    <row r="16" spans="1:8" s="667" customFormat="1">
      <c r="A16" s="3455"/>
      <c r="B16" s="3460" t="s">
        <v>652</v>
      </c>
      <c r="C16" s="3461" t="s">
        <v>239</v>
      </c>
      <c r="D16" s="3461"/>
      <c r="E16" s="770">
        <f>SUM(E17)</f>
        <v>36000</v>
      </c>
      <c r="F16" s="666"/>
      <c r="G16" s="666"/>
    </row>
    <row r="17" spans="1:8" s="667" customFormat="1">
      <c r="A17" s="3456"/>
      <c r="B17" s="3460"/>
      <c r="C17" s="771">
        <v>2210</v>
      </c>
      <c r="D17" s="772"/>
      <c r="E17" s="773">
        <v>36000</v>
      </c>
      <c r="F17" s="666"/>
      <c r="G17" s="666"/>
    </row>
    <row r="18" spans="1:8" s="667" customFormat="1" ht="18.75" customHeight="1">
      <c r="A18" s="3462" t="s">
        <v>659</v>
      </c>
      <c r="B18" s="3463" t="s">
        <v>296</v>
      </c>
      <c r="C18" s="3464"/>
      <c r="D18" s="3465"/>
      <c r="E18" s="774">
        <f>SUM(E19)</f>
        <v>300000</v>
      </c>
      <c r="F18" s="666"/>
      <c r="G18" s="666"/>
    </row>
    <row r="19" spans="1:8" s="667" customFormat="1">
      <c r="A19" s="3462"/>
      <c r="B19" s="3460" t="s">
        <v>665</v>
      </c>
      <c r="C19" s="3461" t="s">
        <v>300</v>
      </c>
      <c r="D19" s="3461"/>
      <c r="E19" s="770">
        <f>SUM(E20)</f>
        <v>300000</v>
      </c>
      <c r="F19" s="666"/>
      <c r="G19" s="666"/>
    </row>
    <row r="20" spans="1:8" s="667" customFormat="1">
      <c r="A20" s="3462"/>
      <c r="B20" s="3460"/>
      <c r="C20" s="771">
        <v>2210</v>
      </c>
      <c r="D20" s="775"/>
      <c r="E20" s="773">
        <v>300000</v>
      </c>
      <c r="F20" s="666"/>
      <c r="G20" s="666"/>
    </row>
    <row r="21" spans="1:8" s="667" customFormat="1" ht="19.5" customHeight="1">
      <c r="A21" s="3462" t="s">
        <v>4</v>
      </c>
      <c r="B21" s="3463" t="s">
        <v>18</v>
      </c>
      <c r="C21" s="3464"/>
      <c r="D21" s="3465"/>
      <c r="E21" s="774">
        <f>SUM(E22,E24,E26)</f>
        <v>376000</v>
      </c>
      <c r="F21" s="666"/>
      <c r="G21" s="666"/>
    </row>
    <row r="22" spans="1:8" s="667" customFormat="1">
      <c r="A22" s="3462"/>
      <c r="B22" s="3460" t="s">
        <v>679</v>
      </c>
      <c r="C22" s="3461" t="s">
        <v>313</v>
      </c>
      <c r="D22" s="3461"/>
      <c r="E22" s="770">
        <f>SUM(E23)</f>
        <v>155000</v>
      </c>
      <c r="F22" s="666"/>
      <c r="G22" s="666"/>
    </row>
    <row r="23" spans="1:8" s="667" customFormat="1">
      <c r="A23" s="3462"/>
      <c r="B23" s="3460"/>
      <c r="C23" s="771">
        <v>2210</v>
      </c>
      <c r="D23" s="775"/>
      <c r="E23" s="773">
        <v>155000</v>
      </c>
      <c r="F23" s="666"/>
      <c r="G23" s="666"/>
    </row>
    <row r="24" spans="1:8" s="667" customFormat="1">
      <c r="A24" s="3462"/>
      <c r="B24" s="3460" t="s">
        <v>704</v>
      </c>
      <c r="C24" s="3461" t="s">
        <v>318</v>
      </c>
      <c r="D24" s="3461"/>
      <c r="E24" s="770">
        <f>SUM(E25)</f>
        <v>20000</v>
      </c>
      <c r="F24" s="666"/>
      <c r="G24" s="666"/>
    </row>
    <row r="25" spans="1:8" s="667" customFormat="1">
      <c r="A25" s="3462"/>
      <c r="B25" s="3460"/>
      <c r="C25" s="771">
        <v>2210</v>
      </c>
      <c r="D25" s="775"/>
      <c r="E25" s="773">
        <v>20000</v>
      </c>
      <c r="F25" s="666"/>
      <c r="G25" s="666"/>
    </row>
    <row r="26" spans="1:8" s="667" customFormat="1">
      <c r="A26" s="3462"/>
      <c r="B26" s="3460" t="s">
        <v>710</v>
      </c>
      <c r="C26" s="3461" t="s">
        <v>327</v>
      </c>
      <c r="D26" s="3461"/>
      <c r="E26" s="770">
        <f>SUM(E27)</f>
        <v>201000</v>
      </c>
      <c r="F26" s="666"/>
      <c r="G26" s="666"/>
    </row>
    <row r="27" spans="1:8" s="667" customFormat="1">
      <c r="A27" s="3462"/>
      <c r="B27" s="3460"/>
      <c r="C27" s="771">
        <v>2210</v>
      </c>
      <c r="D27" s="775"/>
      <c r="E27" s="773">
        <v>201000</v>
      </c>
      <c r="F27" s="666"/>
      <c r="G27" s="666"/>
    </row>
    <row r="28" spans="1:8" s="667" customFormat="1" ht="18" customHeight="1">
      <c r="A28" s="3462" t="s">
        <v>120</v>
      </c>
      <c r="B28" s="3463" t="s">
        <v>934</v>
      </c>
      <c r="C28" s="3464"/>
      <c r="D28" s="3465"/>
      <c r="E28" s="774">
        <f>SUM(E29,E31)</f>
        <v>55000</v>
      </c>
      <c r="G28" s="666"/>
    </row>
    <row r="29" spans="1:8" s="667" customFormat="1" ht="36.75" customHeight="1">
      <c r="A29" s="3462"/>
      <c r="B29" s="3460" t="s">
        <v>829</v>
      </c>
      <c r="C29" s="3467" t="s">
        <v>935</v>
      </c>
      <c r="D29" s="3461"/>
      <c r="E29" s="770">
        <f>SUM(E30)</f>
        <v>25000</v>
      </c>
      <c r="F29" s="666"/>
      <c r="G29" s="666"/>
      <c r="H29" s="674"/>
    </row>
    <row r="30" spans="1:8" s="667" customFormat="1">
      <c r="A30" s="3462"/>
      <c r="B30" s="3460"/>
      <c r="C30" s="771">
        <v>2210</v>
      </c>
      <c r="D30" s="772"/>
      <c r="E30" s="773">
        <v>25000</v>
      </c>
      <c r="F30" s="666"/>
      <c r="G30" s="666"/>
    </row>
    <row r="31" spans="1:8" s="667" customFormat="1">
      <c r="A31" s="3462"/>
      <c r="B31" s="3460" t="s">
        <v>832</v>
      </c>
      <c r="C31" s="3467" t="s">
        <v>239</v>
      </c>
      <c r="D31" s="3461"/>
      <c r="E31" s="770">
        <f>SUM(E32)</f>
        <v>30000</v>
      </c>
      <c r="F31" s="666"/>
      <c r="G31" s="666"/>
    </row>
    <row r="32" spans="1:8" s="667" customFormat="1">
      <c r="A32" s="3462"/>
      <c r="B32" s="3460"/>
      <c r="C32" s="771">
        <v>2210</v>
      </c>
      <c r="D32" s="775"/>
      <c r="E32" s="773">
        <v>30000</v>
      </c>
      <c r="F32" s="666"/>
      <c r="G32" s="666"/>
    </row>
    <row r="33" spans="1:7" s="667" customFormat="1" ht="20.25" customHeight="1">
      <c r="A33" s="3462" t="s">
        <v>126</v>
      </c>
      <c r="B33" s="3471" t="s">
        <v>415</v>
      </c>
      <c r="C33" s="3472"/>
      <c r="D33" s="3473"/>
      <c r="E33" s="774">
        <f>SUM(E34)</f>
        <v>1000</v>
      </c>
      <c r="F33" s="666"/>
      <c r="G33" s="666"/>
    </row>
    <row r="34" spans="1:7" s="667" customFormat="1">
      <c r="A34" s="3462"/>
      <c r="B34" s="3460" t="s">
        <v>859</v>
      </c>
      <c r="C34" s="3474" t="s">
        <v>860</v>
      </c>
      <c r="D34" s="3474"/>
      <c r="E34" s="770">
        <f>SUM(E35)</f>
        <v>1000</v>
      </c>
      <c r="F34" s="666"/>
      <c r="G34" s="666"/>
    </row>
    <row r="35" spans="1:7" s="667" customFormat="1">
      <c r="A35" s="3462"/>
      <c r="B35" s="3460"/>
      <c r="C35" s="771">
        <v>2210</v>
      </c>
      <c r="D35" s="775"/>
      <c r="E35" s="773">
        <v>1000</v>
      </c>
      <c r="F35" s="666"/>
      <c r="G35" s="666"/>
    </row>
    <row r="36" spans="1:7" s="667" customFormat="1" ht="18" customHeight="1">
      <c r="A36" s="3462" t="s">
        <v>158</v>
      </c>
      <c r="B36" s="3463" t="s">
        <v>163</v>
      </c>
      <c r="C36" s="3464"/>
      <c r="D36" s="3465"/>
      <c r="E36" s="774">
        <f>SUM(E37)</f>
        <v>822000</v>
      </c>
      <c r="F36" s="666"/>
    </row>
    <row r="37" spans="1:7" s="667" customFormat="1">
      <c r="A37" s="3462"/>
      <c r="B37" s="3460" t="s">
        <v>873</v>
      </c>
      <c r="C37" s="3461" t="s">
        <v>936</v>
      </c>
      <c r="D37" s="3461"/>
      <c r="E37" s="770">
        <f>SUM(E38)</f>
        <v>822000</v>
      </c>
      <c r="F37" s="666"/>
      <c r="G37" s="666"/>
    </row>
    <row r="38" spans="1:7" s="667" customFormat="1" ht="13.5" thickBot="1">
      <c r="A38" s="3475"/>
      <c r="B38" s="3476"/>
      <c r="C38" s="776">
        <v>2210</v>
      </c>
      <c r="D38" s="777"/>
      <c r="E38" s="778">
        <v>822000</v>
      </c>
      <c r="F38" s="666"/>
      <c r="G38" s="666"/>
    </row>
    <row r="39" spans="1:7" s="667" customFormat="1" ht="27" customHeight="1" thickBot="1">
      <c r="A39" s="3468" t="s">
        <v>16</v>
      </c>
      <c r="B39" s="3469"/>
      <c r="C39" s="3469"/>
      <c r="D39" s="3470"/>
      <c r="E39" s="675">
        <f>SUM(E36,E33,E28,E21,E18,E10,E7,E15)</f>
        <v>57059000</v>
      </c>
      <c r="F39" s="666"/>
    </row>
    <row r="40" spans="1:7" s="667" customFormat="1">
      <c r="A40" s="109"/>
      <c r="B40" s="109"/>
      <c r="C40" s="160"/>
      <c r="D40" s="160"/>
      <c r="E40" s="110"/>
      <c r="F40" s="666"/>
      <c r="G40" s="666"/>
    </row>
    <row r="41" spans="1:7" s="667" customFormat="1">
      <c r="A41" s="109"/>
      <c r="B41" s="109"/>
      <c r="C41" s="160"/>
      <c r="D41" s="160"/>
      <c r="E41" s="110"/>
      <c r="F41" s="666"/>
      <c r="G41" s="666"/>
    </row>
    <row r="42" spans="1:7" s="667" customFormat="1">
      <c r="A42" s="109"/>
      <c r="B42" s="109"/>
      <c r="C42" s="160"/>
      <c r="D42" s="160"/>
      <c r="E42" s="110"/>
      <c r="F42" s="666"/>
      <c r="G42" s="666"/>
    </row>
    <row r="43" spans="1:7" s="667" customFormat="1" ht="12.75" customHeight="1">
      <c r="A43" s="109"/>
      <c r="B43" s="109"/>
      <c r="C43" s="160"/>
      <c r="D43" s="160"/>
      <c r="E43" s="110"/>
      <c r="F43" s="666"/>
      <c r="G43" s="666"/>
    </row>
    <row r="44" spans="1:7" s="667" customFormat="1">
      <c r="A44" s="109"/>
      <c r="B44" s="109"/>
      <c r="C44" s="160"/>
      <c r="D44" s="160"/>
      <c r="E44" s="110"/>
      <c r="F44" s="666"/>
      <c r="G44" s="666"/>
    </row>
    <row r="45" spans="1:7" s="667" customFormat="1">
      <c r="A45" s="109"/>
      <c r="B45" s="109"/>
      <c r="C45" s="160"/>
      <c r="D45" s="160"/>
      <c r="E45" s="110"/>
      <c r="F45" s="666"/>
      <c r="G45" s="666"/>
    </row>
    <row r="46" spans="1:7" s="667" customFormat="1">
      <c r="A46" s="109"/>
      <c r="B46" s="109"/>
      <c r="C46" s="160"/>
      <c r="D46" s="160"/>
      <c r="E46" s="110"/>
      <c r="F46" s="666"/>
      <c r="G46" s="666"/>
    </row>
    <row r="47" spans="1:7" s="667" customFormat="1">
      <c r="A47" s="109"/>
      <c r="B47" s="109"/>
      <c r="C47" s="160"/>
      <c r="D47" s="160"/>
      <c r="E47" s="110"/>
      <c r="F47" s="666"/>
      <c r="G47" s="666"/>
    </row>
    <row r="48" spans="1:7" s="667" customFormat="1">
      <c r="A48" s="109"/>
      <c r="B48" s="109"/>
      <c r="C48" s="160"/>
      <c r="D48" s="160"/>
      <c r="E48" s="110"/>
      <c r="F48" s="666"/>
      <c r="G48" s="666"/>
    </row>
    <row r="49" spans="1:7" s="667" customFormat="1">
      <c r="A49" s="109"/>
      <c r="B49" s="109"/>
      <c r="C49" s="160"/>
      <c r="D49" s="160"/>
      <c r="E49" s="110"/>
      <c r="F49" s="666"/>
      <c r="G49" s="666"/>
    </row>
    <row r="50" spans="1:7" s="667" customFormat="1">
      <c r="A50" s="109"/>
      <c r="B50" s="109"/>
      <c r="C50" s="160"/>
      <c r="D50" s="160"/>
      <c r="E50" s="110"/>
      <c r="F50" s="666"/>
      <c r="G50" s="666"/>
    </row>
    <row r="51" spans="1:7" s="667" customFormat="1">
      <c r="A51" s="160"/>
      <c r="B51" s="109"/>
      <c r="C51" s="160"/>
      <c r="D51" s="160"/>
      <c r="E51" s="110"/>
      <c r="F51" s="666"/>
      <c r="G51" s="666"/>
    </row>
    <row r="52" spans="1:7" s="667" customFormat="1">
      <c r="A52" s="160"/>
      <c r="B52" s="109"/>
      <c r="C52" s="160"/>
      <c r="D52" s="160"/>
      <c r="E52" s="110"/>
      <c r="F52" s="666"/>
      <c r="G52" s="666"/>
    </row>
    <row r="53" spans="1:7" s="667" customFormat="1">
      <c r="A53" s="160"/>
      <c r="B53" s="109"/>
      <c r="C53" s="160"/>
      <c r="D53" s="160"/>
      <c r="E53" s="110"/>
      <c r="F53" s="666"/>
      <c r="G53" s="666"/>
    </row>
    <row r="54" spans="1:7" s="667" customFormat="1">
      <c r="A54" s="160"/>
      <c r="B54" s="109"/>
      <c r="C54" s="160"/>
      <c r="D54" s="160"/>
      <c r="E54" s="110"/>
      <c r="F54" s="666"/>
      <c r="G54" s="666"/>
    </row>
    <row r="55" spans="1:7" s="667" customFormat="1">
      <c r="A55" s="160"/>
      <c r="B55" s="109"/>
      <c r="C55" s="160"/>
      <c r="D55" s="160"/>
      <c r="E55" s="110"/>
      <c r="F55" s="666"/>
      <c r="G55" s="666"/>
    </row>
    <row r="56" spans="1:7" s="667" customFormat="1">
      <c r="A56" s="160"/>
      <c r="B56" s="109"/>
      <c r="C56" s="160"/>
      <c r="D56" s="160"/>
      <c r="E56" s="110"/>
      <c r="F56" s="666"/>
      <c r="G56" s="666"/>
    </row>
    <row r="57" spans="1:7" s="667" customFormat="1">
      <c r="A57" s="160"/>
      <c r="B57" s="109"/>
      <c r="C57" s="160"/>
      <c r="D57" s="160"/>
      <c r="E57" s="110"/>
      <c r="F57" s="666"/>
      <c r="G57" s="666"/>
    </row>
    <row r="58" spans="1:7" s="667" customFormat="1">
      <c r="A58" s="160"/>
      <c r="B58" s="109"/>
      <c r="C58" s="160"/>
      <c r="D58" s="160"/>
      <c r="E58" s="110"/>
      <c r="F58" s="666"/>
      <c r="G58" s="666"/>
    </row>
    <row r="59" spans="1:7" s="667" customFormat="1">
      <c r="A59" s="160"/>
      <c r="B59" s="109"/>
      <c r="C59" s="160"/>
      <c r="D59" s="160"/>
      <c r="E59" s="110"/>
      <c r="F59" s="666"/>
      <c r="G59" s="666"/>
    </row>
    <row r="60" spans="1:7" s="667" customFormat="1">
      <c r="A60" s="160"/>
      <c r="B60" s="109"/>
      <c r="C60" s="160"/>
      <c r="D60" s="160"/>
      <c r="E60" s="110"/>
      <c r="F60" s="666"/>
      <c r="G60" s="666"/>
    </row>
    <row r="61" spans="1:7" s="667" customFormat="1">
      <c r="A61" s="160"/>
      <c r="B61" s="109"/>
      <c r="C61" s="160"/>
      <c r="D61" s="160"/>
      <c r="E61" s="110"/>
      <c r="F61" s="666"/>
      <c r="G61" s="666"/>
    </row>
    <row r="62" spans="1:7" s="667" customFormat="1">
      <c r="A62" s="160"/>
      <c r="B62" s="109"/>
      <c r="C62" s="160"/>
      <c r="D62" s="160"/>
      <c r="E62" s="110"/>
      <c r="F62" s="666"/>
      <c r="G62" s="666"/>
    </row>
    <row r="63" spans="1:7" s="667" customFormat="1">
      <c r="A63" s="160"/>
      <c r="B63" s="109"/>
      <c r="C63" s="160"/>
      <c r="D63" s="160"/>
      <c r="E63" s="110"/>
      <c r="F63" s="666"/>
      <c r="G63" s="666"/>
    </row>
    <row r="64" spans="1:7" s="667" customFormat="1">
      <c r="A64" s="160"/>
      <c r="B64" s="109"/>
      <c r="C64" s="160"/>
      <c r="D64" s="160"/>
      <c r="E64" s="110"/>
      <c r="F64" s="666"/>
      <c r="G64" s="666"/>
    </row>
    <row r="65" spans="1:7" s="667" customFormat="1">
      <c r="A65" s="666"/>
      <c r="B65" s="109"/>
      <c r="C65" s="160"/>
      <c r="D65" s="160"/>
      <c r="E65" s="110"/>
      <c r="F65" s="666"/>
      <c r="G65" s="666"/>
    </row>
    <row r="66" spans="1:7" s="667" customFormat="1">
      <c r="A66" s="666"/>
      <c r="B66" s="109"/>
      <c r="C66" s="160"/>
      <c r="D66" s="160"/>
      <c r="E66" s="110"/>
      <c r="F66" s="666"/>
      <c r="G66" s="666"/>
    </row>
    <row r="67" spans="1:7" s="667" customFormat="1">
      <c r="A67" s="666"/>
      <c r="B67" s="676"/>
      <c r="C67" s="666"/>
      <c r="D67" s="666"/>
      <c r="E67" s="677"/>
      <c r="F67" s="666"/>
      <c r="G67" s="666"/>
    </row>
    <row r="68" spans="1:7" s="667" customFormat="1">
      <c r="A68" s="666"/>
      <c r="B68" s="676"/>
      <c r="C68" s="666"/>
      <c r="D68" s="666"/>
      <c r="E68" s="677"/>
      <c r="F68" s="666"/>
      <c r="G68" s="666"/>
    </row>
    <row r="69" spans="1:7" s="667" customFormat="1">
      <c r="A69" s="666"/>
      <c r="B69" s="676"/>
      <c r="C69" s="666"/>
      <c r="D69" s="666"/>
      <c r="E69" s="677"/>
      <c r="F69" s="666"/>
      <c r="G69" s="666"/>
    </row>
    <row r="70" spans="1:7" s="667" customFormat="1">
      <c r="A70" s="666"/>
      <c r="B70" s="676"/>
      <c r="C70" s="666"/>
      <c r="D70" s="666"/>
      <c r="E70" s="677"/>
      <c r="F70" s="666"/>
      <c r="G70" s="666"/>
    </row>
    <row r="71" spans="1:7">
      <c r="B71" s="676"/>
      <c r="E71" s="677"/>
    </row>
    <row r="72" spans="1:7">
      <c r="B72" s="676"/>
      <c r="E72" s="677"/>
    </row>
    <row r="73" spans="1:7">
      <c r="B73" s="676"/>
      <c r="E73" s="677"/>
    </row>
    <row r="74" spans="1:7">
      <c r="B74" s="676"/>
      <c r="E74" s="677"/>
    </row>
    <row r="75" spans="1:7">
      <c r="B75" s="676"/>
      <c r="E75" s="677"/>
    </row>
    <row r="76" spans="1:7">
      <c r="B76" s="676"/>
      <c r="E76" s="677"/>
    </row>
    <row r="77" spans="1:7">
      <c r="B77" s="676"/>
      <c r="E77" s="677"/>
    </row>
    <row r="78" spans="1:7">
      <c r="B78" s="676"/>
      <c r="E78" s="677"/>
    </row>
    <row r="79" spans="1:7">
      <c r="B79" s="676"/>
      <c r="E79" s="677"/>
    </row>
    <row r="80" spans="1:7">
      <c r="B80" s="676"/>
      <c r="E80" s="677"/>
    </row>
    <row r="81" spans="2:5">
      <c r="B81" s="676"/>
      <c r="E81" s="677"/>
    </row>
    <row r="82" spans="2:5">
      <c r="B82" s="676"/>
      <c r="E82" s="677"/>
    </row>
    <row r="83" spans="2:5">
      <c r="E83" s="677"/>
    </row>
    <row r="84" spans="2:5">
      <c r="E84" s="677"/>
    </row>
    <row r="135" spans="3:3">
      <c r="C135" s="666" t="s">
        <v>302</v>
      </c>
    </row>
    <row r="155" spans="4:4">
      <c r="D155" s="678">
        <f>115000000+12000000</f>
        <v>127000000</v>
      </c>
    </row>
    <row r="263" spans="4:4">
      <c r="D263" s="678"/>
    </row>
  </sheetData>
  <mergeCells count="45">
    <mergeCell ref="A39:D39"/>
    <mergeCell ref="A33:A35"/>
    <mergeCell ref="B33:D33"/>
    <mergeCell ref="B34:B35"/>
    <mergeCell ref="C34:D34"/>
    <mergeCell ref="A36:A38"/>
    <mergeCell ref="B36:D36"/>
    <mergeCell ref="B37:B38"/>
    <mergeCell ref="C37:D37"/>
    <mergeCell ref="A28:A32"/>
    <mergeCell ref="B28:D28"/>
    <mergeCell ref="B29:B30"/>
    <mergeCell ref="C29:D29"/>
    <mergeCell ref="B31:B32"/>
    <mergeCell ref="C31:D31"/>
    <mergeCell ref="A21:A27"/>
    <mergeCell ref="B21:D21"/>
    <mergeCell ref="B22:B23"/>
    <mergeCell ref="C22:D22"/>
    <mergeCell ref="B24:B25"/>
    <mergeCell ref="C24:D24"/>
    <mergeCell ref="B26:B27"/>
    <mergeCell ref="C26:D26"/>
    <mergeCell ref="A15:A17"/>
    <mergeCell ref="B15:D15"/>
    <mergeCell ref="B16:B17"/>
    <mergeCell ref="C16:D16"/>
    <mergeCell ref="A18:A20"/>
    <mergeCell ref="B18:D18"/>
    <mergeCell ref="B19:B20"/>
    <mergeCell ref="C19:D19"/>
    <mergeCell ref="A10:A14"/>
    <mergeCell ref="B10:D10"/>
    <mergeCell ref="B11:B12"/>
    <mergeCell ref="C11:D11"/>
    <mergeCell ref="B13:B14"/>
    <mergeCell ref="C13:D13"/>
    <mergeCell ref="D1:E1"/>
    <mergeCell ref="A2:E2"/>
    <mergeCell ref="A4:E4"/>
    <mergeCell ref="A5:E5"/>
    <mergeCell ref="A7:A9"/>
    <mergeCell ref="B7:D7"/>
    <mergeCell ref="B8:B9"/>
    <mergeCell ref="C8:D8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105" orientation="portrait" r:id="rId1"/>
  <headerFooter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M327"/>
  <sheetViews>
    <sheetView view="pageBreakPreview" zoomScale="110" zoomScaleNormal="75" zoomScaleSheetLayoutView="110" workbookViewId="0">
      <pane ySplit="5" topLeftCell="A72" activePane="bottomLeft" state="frozen"/>
      <selection activeCell="E1" sqref="E1:G1"/>
      <selection pane="bottomLeft" activeCell="P28" sqref="P28"/>
    </sheetView>
  </sheetViews>
  <sheetFormatPr defaultRowHeight="15.75"/>
  <cols>
    <col min="1" max="1" width="5.5703125" style="692" bestFit="1" customWidth="1"/>
    <col min="2" max="2" width="8.85546875" style="691" bestFit="1" customWidth="1"/>
    <col min="3" max="3" width="26.42578125" style="160" customWidth="1"/>
    <col min="4" max="4" width="8.85546875" style="160" bestFit="1" customWidth="1"/>
    <col min="5" max="5" width="10.28515625" style="160" customWidth="1"/>
    <col min="6" max="6" width="10.28515625" style="160" bestFit="1" customWidth="1"/>
    <col min="7" max="7" width="13.28515625" style="160" customWidth="1"/>
    <col min="8" max="8" width="9.7109375" style="160" bestFit="1" customWidth="1"/>
    <col min="9" max="9" width="12.85546875" style="160" bestFit="1" customWidth="1"/>
    <col min="10" max="10" width="10.85546875" style="160" customWidth="1"/>
    <col min="11" max="11" width="12.42578125" style="160" customWidth="1"/>
    <col min="12" max="12" width="10.5703125" style="160" customWidth="1"/>
    <col min="13" max="13" width="9.7109375" style="160" customWidth="1"/>
    <col min="14" max="16384" width="9.140625" style="160"/>
  </cols>
  <sheetData>
    <row r="1" spans="1:13" ht="37.5" customHeight="1">
      <c r="A1" s="3158" t="s">
        <v>937</v>
      </c>
      <c r="B1" s="3158"/>
      <c r="C1" s="3158"/>
      <c r="D1" s="3158"/>
      <c r="E1" s="3158"/>
      <c r="F1" s="3158"/>
      <c r="G1" s="3158"/>
      <c r="H1" s="3158"/>
      <c r="I1" s="3158"/>
      <c r="J1" s="3158"/>
      <c r="K1" s="3158"/>
      <c r="L1" s="3158"/>
    </row>
    <row r="2" spans="1:13" ht="13.5" thickBot="1">
      <c r="A2" s="3453" t="s">
        <v>938</v>
      </c>
      <c r="B2" s="3453"/>
      <c r="C2" s="3453"/>
      <c r="D2" s="3453"/>
      <c r="E2" s="3453"/>
      <c r="F2" s="3453"/>
      <c r="G2" s="3453"/>
      <c r="H2" s="3453"/>
      <c r="I2" s="3453"/>
      <c r="J2" s="3453"/>
      <c r="K2" s="3453"/>
      <c r="L2" s="3453"/>
    </row>
    <row r="3" spans="1:13" ht="12.75">
      <c r="A3" s="3417" t="s">
        <v>0</v>
      </c>
      <c r="B3" s="3419" t="s">
        <v>1</v>
      </c>
      <c r="C3" s="3419" t="s">
        <v>64</v>
      </c>
      <c r="D3" s="3481" t="s">
        <v>5</v>
      </c>
      <c r="E3" s="3421" t="s">
        <v>74</v>
      </c>
      <c r="F3" s="3421" t="s">
        <v>73</v>
      </c>
      <c r="G3" s="3486" t="s">
        <v>939</v>
      </c>
      <c r="H3" s="3487"/>
      <c r="I3" s="3487"/>
      <c r="J3" s="3487"/>
      <c r="K3" s="3488"/>
      <c r="L3" s="3423" t="s">
        <v>72</v>
      </c>
    </row>
    <row r="4" spans="1:13" ht="12.75" customHeight="1">
      <c r="A4" s="3477"/>
      <c r="B4" s="3479"/>
      <c r="C4" s="3479"/>
      <c r="D4" s="3482"/>
      <c r="E4" s="3484"/>
      <c r="F4" s="3484"/>
      <c r="G4" s="3484" t="s">
        <v>940</v>
      </c>
      <c r="H4" s="3479" t="s">
        <v>2</v>
      </c>
      <c r="I4" s="3479"/>
      <c r="J4" s="3484" t="s">
        <v>941</v>
      </c>
      <c r="K4" s="3491" t="s">
        <v>942</v>
      </c>
      <c r="L4" s="3489"/>
    </row>
    <row r="5" spans="1:13" ht="77.25" customHeight="1" thickBot="1">
      <c r="A5" s="3478"/>
      <c r="B5" s="3480"/>
      <c r="C5" s="3480"/>
      <c r="D5" s="3483"/>
      <c r="E5" s="3485"/>
      <c r="F5" s="3485"/>
      <c r="G5" s="3485"/>
      <c r="H5" s="779" t="s">
        <v>943</v>
      </c>
      <c r="I5" s="779" t="s">
        <v>944</v>
      </c>
      <c r="J5" s="3485"/>
      <c r="K5" s="3492"/>
      <c r="L5" s="3490"/>
    </row>
    <row r="6" spans="1:13" ht="30" customHeight="1">
      <c r="A6" s="3454" t="s">
        <v>109</v>
      </c>
      <c r="B6" s="3493" t="s">
        <v>216</v>
      </c>
      <c r="C6" s="3493"/>
      <c r="D6" s="679"/>
      <c r="E6" s="680">
        <f>SUM(E7)</f>
        <v>300000</v>
      </c>
      <c r="F6" s="680">
        <f>SUM(F7)</f>
        <v>300000</v>
      </c>
      <c r="G6" s="680">
        <f>SUM(H6:I6)</f>
        <v>300000</v>
      </c>
      <c r="H6" s="680">
        <f>SUM(H7)</f>
        <v>300000</v>
      </c>
      <c r="I6" s="680"/>
      <c r="J6" s="680"/>
      <c r="K6" s="680"/>
      <c r="L6" s="681"/>
      <c r="M6" s="181"/>
    </row>
    <row r="7" spans="1:13" ht="27.75" customHeight="1">
      <c r="A7" s="3455"/>
      <c r="B7" s="3494" t="s">
        <v>111</v>
      </c>
      <c r="C7" s="3497" t="s">
        <v>239</v>
      </c>
      <c r="D7" s="780" t="s">
        <v>945</v>
      </c>
      <c r="E7" s="781">
        <f>SUM(F7,L7)</f>
        <v>300000</v>
      </c>
      <c r="F7" s="781">
        <f>SUM(G7,J7,K7)</f>
        <v>300000</v>
      </c>
      <c r="G7" s="781">
        <f>SUM(H7:I7)</f>
        <v>300000</v>
      </c>
      <c r="H7" s="781">
        <f>SUM(H8:H10)</f>
        <v>300000</v>
      </c>
      <c r="I7" s="781"/>
      <c r="J7" s="781"/>
      <c r="K7" s="781"/>
      <c r="L7" s="782"/>
    </row>
    <row r="8" spans="1:13" ht="12.75">
      <c r="A8" s="3455"/>
      <c r="B8" s="3495"/>
      <c r="C8" s="3498"/>
      <c r="D8" s="783">
        <v>4010</v>
      </c>
      <c r="E8" s="784">
        <f>SUM(F8,L8)</f>
        <v>250752</v>
      </c>
      <c r="F8" s="784">
        <f>SUM(G8,J8,K8)</f>
        <v>250752</v>
      </c>
      <c r="G8" s="784">
        <f>H8+I8</f>
        <v>250752</v>
      </c>
      <c r="H8" s="784">
        <v>250752</v>
      </c>
      <c r="I8" s="784"/>
      <c r="J8" s="784"/>
      <c r="K8" s="784"/>
      <c r="L8" s="785"/>
    </row>
    <row r="9" spans="1:13" ht="12.75">
      <c r="A9" s="3455"/>
      <c r="B9" s="3495"/>
      <c r="C9" s="3498"/>
      <c r="D9" s="783">
        <v>4110</v>
      </c>
      <c r="E9" s="784">
        <f>SUM(F9,L9)</f>
        <v>43104</v>
      </c>
      <c r="F9" s="784">
        <f t="shared" ref="F9:F10" si="0">SUM(G9,J9,K9)</f>
        <v>43104</v>
      </c>
      <c r="G9" s="784">
        <f t="shared" ref="G9:G10" si="1">H9+I9</f>
        <v>43104</v>
      </c>
      <c r="H9" s="784">
        <v>43104</v>
      </c>
      <c r="I9" s="784"/>
      <c r="J9" s="784"/>
      <c r="K9" s="784"/>
      <c r="L9" s="785"/>
    </row>
    <row r="10" spans="1:13" ht="12.75">
      <c r="A10" s="3456"/>
      <c r="B10" s="3496"/>
      <c r="C10" s="3499"/>
      <c r="D10" s="783">
        <v>4120</v>
      </c>
      <c r="E10" s="784">
        <f t="shared" ref="E10" si="2">SUM(F10,L10)</f>
        <v>6144</v>
      </c>
      <c r="F10" s="784">
        <f t="shared" si="0"/>
        <v>6144</v>
      </c>
      <c r="G10" s="784">
        <f t="shared" si="1"/>
        <v>6144</v>
      </c>
      <c r="H10" s="784">
        <v>6144</v>
      </c>
      <c r="I10" s="784"/>
      <c r="J10" s="784"/>
      <c r="K10" s="784"/>
      <c r="L10" s="785"/>
    </row>
    <row r="11" spans="1:13" ht="30.75" customHeight="1">
      <c r="A11" s="3466" t="s">
        <v>7</v>
      </c>
      <c r="B11" s="3500" t="s">
        <v>134</v>
      </c>
      <c r="C11" s="3500"/>
      <c r="D11" s="786"/>
      <c r="E11" s="787">
        <f>F11+L11</f>
        <v>55169000</v>
      </c>
      <c r="F11" s="787">
        <f>G11+J11+K11</f>
        <v>55169000</v>
      </c>
      <c r="G11" s="787">
        <f>H11+I11</f>
        <v>169000</v>
      </c>
      <c r="H11" s="787">
        <f>H12+H13</f>
        <v>89000</v>
      </c>
      <c r="I11" s="787">
        <f>I12+I13</f>
        <v>80000</v>
      </c>
      <c r="J11" s="787">
        <f>SUM(J12)</f>
        <v>55000000</v>
      </c>
      <c r="K11" s="787"/>
      <c r="L11" s="788"/>
    </row>
    <row r="12" spans="1:13" ht="27.75" customHeight="1">
      <c r="A12" s="3455"/>
      <c r="B12" s="789" t="s">
        <v>8</v>
      </c>
      <c r="C12" s="780" t="s">
        <v>266</v>
      </c>
      <c r="D12" s="780">
        <v>2630</v>
      </c>
      <c r="E12" s="781">
        <f>SUM(F12,L12)</f>
        <v>55000000</v>
      </c>
      <c r="F12" s="781">
        <f t="shared" ref="F12:F27" si="3">SUM(G12,J12,K12)</f>
        <v>55000000</v>
      </c>
      <c r="G12" s="781"/>
      <c r="H12" s="781"/>
      <c r="I12" s="781"/>
      <c r="J12" s="781">
        <v>55000000</v>
      </c>
      <c r="K12" s="781"/>
      <c r="L12" s="782"/>
    </row>
    <row r="13" spans="1:13" ht="27.75" customHeight="1">
      <c r="A13" s="3455"/>
      <c r="B13" s="3494" t="s">
        <v>645</v>
      </c>
      <c r="C13" s="3497" t="s">
        <v>239</v>
      </c>
      <c r="D13" s="780" t="s">
        <v>945</v>
      </c>
      <c r="E13" s="781">
        <f>SUM(F13,L13)</f>
        <v>169000</v>
      </c>
      <c r="F13" s="781">
        <f>SUM(G13,J13,K13)</f>
        <v>169000</v>
      </c>
      <c r="G13" s="781">
        <f>SUM(H13:I13)</f>
        <v>169000</v>
      </c>
      <c r="H13" s="781">
        <f>SUM(H14:H16)</f>
        <v>89000</v>
      </c>
      <c r="I13" s="781">
        <f>SUM(I14:I17)</f>
        <v>80000</v>
      </c>
      <c r="J13" s="790"/>
      <c r="K13" s="790"/>
      <c r="L13" s="791"/>
    </row>
    <row r="14" spans="1:13" ht="12.75">
      <c r="A14" s="3455"/>
      <c r="B14" s="3495"/>
      <c r="C14" s="3498"/>
      <c r="D14" s="783">
        <v>4010</v>
      </c>
      <c r="E14" s="784">
        <f>SUM(F14,L14)</f>
        <v>74389</v>
      </c>
      <c r="F14" s="784">
        <f t="shared" si="3"/>
        <v>74389</v>
      </c>
      <c r="G14" s="784">
        <f>SUM(H14:I14)</f>
        <v>74389</v>
      </c>
      <c r="H14" s="784">
        <v>74389</v>
      </c>
      <c r="I14" s="784"/>
      <c r="J14" s="784"/>
      <c r="K14" s="784"/>
      <c r="L14" s="785"/>
      <c r="M14" s="181"/>
    </row>
    <row r="15" spans="1:13" ht="12.75">
      <c r="A15" s="3455"/>
      <c r="B15" s="3495"/>
      <c r="C15" s="3498"/>
      <c r="D15" s="783">
        <v>4110</v>
      </c>
      <c r="E15" s="784">
        <f t="shared" ref="E15:E16" si="4">SUM(F15,L15)</f>
        <v>12788</v>
      </c>
      <c r="F15" s="784">
        <f t="shared" si="3"/>
        <v>12788</v>
      </c>
      <c r="G15" s="784">
        <f t="shared" ref="G15:G16" si="5">SUM(H15:I15)</f>
        <v>12788</v>
      </c>
      <c r="H15" s="784">
        <v>12788</v>
      </c>
      <c r="I15" s="784"/>
      <c r="J15" s="784"/>
      <c r="K15" s="784"/>
      <c r="L15" s="785"/>
      <c r="M15" s="181"/>
    </row>
    <row r="16" spans="1:13" ht="12.75">
      <c r="A16" s="3455"/>
      <c r="B16" s="3495"/>
      <c r="C16" s="3498"/>
      <c r="D16" s="783">
        <v>4120</v>
      </c>
      <c r="E16" s="784">
        <f t="shared" si="4"/>
        <v>1823</v>
      </c>
      <c r="F16" s="784">
        <f t="shared" si="3"/>
        <v>1823</v>
      </c>
      <c r="G16" s="784">
        <f t="shared" si="5"/>
        <v>1823</v>
      </c>
      <c r="H16" s="784">
        <v>1823</v>
      </c>
      <c r="I16" s="784"/>
      <c r="J16" s="784"/>
      <c r="K16" s="784"/>
      <c r="L16" s="785"/>
      <c r="M16" s="181"/>
    </row>
    <row r="17" spans="1:13" ht="12.75">
      <c r="A17" s="3456"/>
      <c r="B17" s="3496"/>
      <c r="C17" s="3499"/>
      <c r="D17" s="783">
        <v>4300</v>
      </c>
      <c r="E17" s="784"/>
      <c r="F17" s="784"/>
      <c r="G17" s="784"/>
      <c r="H17" s="784"/>
      <c r="I17" s="784">
        <v>80000</v>
      </c>
      <c r="J17" s="784"/>
      <c r="K17" s="784"/>
      <c r="L17" s="785"/>
      <c r="M17" s="181"/>
    </row>
    <row r="18" spans="1:13" ht="29.25" customHeight="1">
      <c r="A18" s="3466" t="s">
        <v>114</v>
      </c>
      <c r="B18" s="3501" t="s">
        <v>283</v>
      </c>
      <c r="C18" s="3501"/>
      <c r="D18" s="792"/>
      <c r="E18" s="787">
        <f>F18+L18</f>
        <v>36000</v>
      </c>
      <c r="F18" s="787">
        <f>SUM(G18,J18,K18)</f>
        <v>36000</v>
      </c>
      <c r="G18" s="787">
        <f>SUM(H18:I18)</f>
        <v>36000</v>
      </c>
      <c r="H18" s="787">
        <f>SUM(H19)</f>
        <v>36000</v>
      </c>
      <c r="I18" s="787"/>
      <c r="J18" s="787"/>
      <c r="K18" s="787"/>
      <c r="L18" s="788"/>
    </row>
    <row r="19" spans="1:13" ht="27" customHeight="1">
      <c r="A19" s="3455"/>
      <c r="B19" s="3494" t="s">
        <v>652</v>
      </c>
      <c r="C19" s="3497" t="s">
        <v>239</v>
      </c>
      <c r="D19" s="780" t="s">
        <v>945</v>
      </c>
      <c r="E19" s="781">
        <f>F19+L19</f>
        <v>36000</v>
      </c>
      <c r="F19" s="781">
        <f t="shared" ref="F19:F22" si="6">SUM(G19,J19,K19)</f>
        <v>36000</v>
      </c>
      <c r="G19" s="781">
        <f>SUM(H19:I19)</f>
        <v>36000</v>
      </c>
      <c r="H19" s="781">
        <f>SUM(H20:H22)</f>
        <v>36000</v>
      </c>
      <c r="I19" s="781"/>
      <c r="J19" s="781"/>
      <c r="K19" s="781"/>
      <c r="L19" s="782"/>
    </row>
    <row r="20" spans="1:13" ht="12.75">
      <c r="A20" s="3455"/>
      <c r="B20" s="3495"/>
      <c r="C20" s="3498"/>
      <c r="D20" s="783">
        <v>4010</v>
      </c>
      <c r="E20" s="784">
        <f>SUM(F20,L20)</f>
        <v>30090</v>
      </c>
      <c r="F20" s="784">
        <f t="shared" si="6"/>
        <v>30090</v>
      </c>
      <c r="G20" s="784">
        <f>SUM(H20:I20)</f>
        <v>30090</v>
      </c>
      <c r="H20" s="784">
        <v>30090</v>
      </c>
      <c r="I20" s="784"/>
      <c r="J20" s="784"/>
      <c r="K20" s="784"/>
      <c r="L20" s="785"/>
      <c r="M20" s="181"/>
    </row>
    <row r="21" spans="1:13" ht="12.75">
      <c r="A21" s="3455"/>
      <c r="B21" s="3495"/>
      <c r="C21" s="3498"/>
      <c r="D21" s="783">
        <v>4110</v>
      </c>
      <c r="E21" s="784">
        <f t="shared" ref="E21:E22" si="7">SUM(F21,L21)</f>
        <v>5173</v>
      </c>
      <c r="F21" s="784">
        <f t="shared" si="6"/>
        <v>5173</v>
      </c>
      <c r="G21" s="784">
        <f t="shared" ref="G21:G22" si="8">SUM(H21:I21)</f>
        <v>5173</v>
      </c>
      <c r="H21" s="784">
        <v>5173</v>
      </c>
      <c r="I21" s="784"/>
      <c r="J21" s="784"/>
      <c r="K21" s="784"/>
      <c r="L21" s="785"/>
      <c r="M21" s="181"/>
    </row>
    <row r="22" spans="1:13" ht="12.75">
      <c r="A22" s="3455"/>
      <c r="B22" s="3495"/>
      <c r="C22" s="3498"/>
      <c r="D22" s="783">
        <v>4120</v>
      </c>
      <c r="E22" s="784">
        <f t="shared" si="7"/>
        <v>737</v>
      </c>
      <c r="F22" s="784">
        <f t="shared" si="6"/>
        <v>737</v>
      </c>
      <c r="G22" s="784">
        <f t="shared" si="8"/>
        <v>737</v>
      </c>
      <c r="H22" s="784">
        <v>737</v>
      </c>
      <c r="I22" s="784"/>
      <c r="J22" s="784"/>
      <c r="K22" s="784"/>
      <c r="L22" s="785"/>
      <c r="M22" s="181"/>
    </row>
    <row r="23" spans="1:13" ht="29.25" customHeight="1">
      <c r="A23" s="3466" t="s">
        <v>659</v>
      </c>
      <c r="B23" s="3501" t="s">
        <v>296</v>
      </c>
      <c r="C23" s="3501"/>
      <c r="D23" s="792"/>
      <c r="E23" s="787">
        <f>F23+L23</f>
        <v>300000</v>
      </c>
      <c r="F23" s="787">
        <f>SUM(G23,J23,K23)</f>
        <v>300000</v>
      </c>
      <c r="G23" s="787">
        <f>SUM(H23:I23)</f>
        <v>300000</v>
      </c>
      <c r="H23" s="787">
        <f>SUM(H24)</f>
        <v>300000</v>
      </c>
      <c r="I23" s="787"/>
      <c r="J23" s="787"/>
      <c r="K23" s="787"/>
      <c r="L23" s="788"/>
    </row>
    <row r="24" spans="1:13" ht="27" customHeight="1">
      <c r="A24" s="3455"/>
      <c r="B24" s="3494" t="s">
        <v>665</v>
      </c>
      <c r="C24" s="3497" t="s">
        <v>946</v>
      </c>
      <c r="D24" s="780" t="s">
        <v>945</v>
      </c>
      <c r="E24" s="781">
        <f>F24+L24</f>
        <v>300000</v>
      </c>
      <c r="F24" s="781">
        <f t="shared" si="3"/>
        <v>300000</v>
      </c>
      <c r="G24" s="781">
        <f>SUM(H24:I24)</f>
        <v>300000</v>
      </c>
      <c r="H24" s="781">
        <f>SUM(H25:H27)</f>
        <v>300000</v>
      </c>
      <c r="I24" s="781"/>
      <c r="J24" s="781"/>
      <c r="K24" s="781"/>
      <c r="L24" s="782"/>
    </row>
    <row r="25" spans="1:13" ht="12.75">
      <c r="A25" s="3455"/>
      <c r="B25" s="3495"/>
      <c r="C25" s="3498"/>
      <c r="D25" s="783">
        <v>4010</v>
      </c>
      <c r="E25" s="784">
        <f>SUM(F25,L25)</f>
        <v>249568</v>
      </c>
      <c r="F25" s="784">
        <f t="shared" si="3"/>
        <v>249568</v>
      </c>
      <c r="G25" s="784">
        <f>SUM(H25:I25)</f>
        <v>249568</v>
      </c>
      <c r="H25" s="784">
        <f>50200+199368</f>
        <v>249568</v>
      </c>
      <c r="I25" s="784"/>
      <c r="J25" s="784"/>
      <c r="K25" s="784"/>
      <c r="L25" s="785"/>
      <c r="M25" s="181"/>
    </row>
    <row r="26" spans="1:13" ht="12.75">
      <c r="A26" s="3455"/>
      <c r="B26" s="3495"/>
      <c r="C26" s="3498"/>
      <c r="D26" s="783">
        <v>4110</v>
      </c>
      <c r="E26" s="784">
        <f t="shared" ref="E26:E32" si="9">SUM(F26,L26)</f>
        <v>44377</v>
      </c>
      <c r="F26" s="784">
        <f t="shared" si="3"/>
        <v>44377</v>
      </c>
      <c r="G26" s="784">
        <f t="shared" ref="G26:G27" si="10">SUM(H26:I26)</f>
        <v>44377</v>
      </c>
      <c r="H26" s="784">
        <f>8630+35747</f>
        <v>44377</v>
      </c>
      <c r="I26" s="784"/>
      <c r="J26" s="784"/>
      <c r="K26" s="784"/>
      <c r="L26" s="785"/>
      <c r="M26" s="181"/>
    </row>
    <row r="27" spans="1:13" ht="12.75">
      <c r="A27" s="3455"/>
      <c r="B27" s="3495"/>
      <c r="C27" s="3498"/>
      <c r="D27" s="783">
        <v>4120</v>
      </c>
      <c r="E27" s="784">
        <f t="shared" si="9"/>
        <v>6055</v>
      </c>
      <c r="F27" s="784">
        <f t="shared" si="3"/>
        <v>6055</v>
      </c>
      <c r="G27" s="784">
        <f t="shared" si="10"/>
        <v>6055</v>
      </c>
      <c r="H27" s="784">
        <f>1170+4885</f>
        <v>6055</v>
      </c>
      <c r="I27" s="784"/>
      <c r="J27" s="784"/>
      <c r="K27" s="784"/>
      <c r="L27" s="785"/>
      <c r="M27" s="181"/>
    </row>
    <row r="28" spans="1:13" ht="29.25" customHeight="1">
      <c r="A28" s="3466" t="s">
        <v>4</v>
      </c>
      <c r="B28" s="3500" t="s">
        <v>18</v>
      </c>
      <c r="C28" s="3500"/>
      <c r="D28" s="793"/>
      <c r="E28" s="787">
        <f>SUM(F28,L28)</f>
        <v>376000</v>
      </c>
      <c r="F28" s="787">
        <f>SUM(G28,J28,K28)</f>
        <v>376000</v>
      </c>
      <c r="G28" s="787">
        <f>SUM(H28:I28)</f>
        <v>369000</v>
      </c>
      <c r="H28" s="787">
        <f>SUM(H29,H33,H39)</f>
        <v>311270</v>
      </c>
      <c r="I28" s="787">
        <f t="shared" ref="I28:K28" si="11">SUM(I29,I33,I39)</f>
        <v>57730</v>
      </c>
      <c r="J28" s="787"/>
      <c r="K28" s="787">
        <f t="shared" si="11"/>
        <v>7000</v>
      </c>
      <c r="L28" s="788"/>
    </row>
    <row r="29" spans="1:13" s="683" customFormat="1" ht="23.25" customHeight="1">
      <c r="A29" s="3455"/>
      <c r="B29" s="3494" t="s">
        <v>679</v>
      </c>
      <c r="C29" s="3497" t="s">
        <v>313</v>
      </c>
      <c r="D29" s="780" t="s">
        <v>945</v>
      </c>
      <c r="E29" s="781">
        <f t="shared" si="9"/>
        <v>155000</v>
      </c>
      <c r="F29" s="781">
        <f>SUM(G29,J29,K29)</f>
        <v>155000</v>
      </c>
      <c r="G29" s="781">
        <f>SUM(H29:I29)</f>
        <v>155000</v>
      </c>
      <c r="H29" s="781">
        <f>SUM(H30:H32)</f>
        <v>155000</v>
      </c>
      <c r="I29" s="781"/>
      <c r="J29" s="781"/>
      <c r="K29" s="781"/>
      <c r="L29" s="782"/>
      <c r="M29" s="682"/>
    </row>
    <row r="30" spans="1:13" s="683" customFormat="1" ht="12.75">
      <c r="A30" s="3455"/>
      <c r="B30" s="3495"/>
      <c r="C30" s="3498"/>
      <c r="D30" s="783">
        <v>4010</v>
      </c>
      <c r="E30" s="784">
        <f t="shared" si="9"/>
        <v>129555</v>
      </c>
      <c r="F30" s="784">
        <f>SUM(G30,J30,K30)</f>
        <v>129555</v>
      </c>
      <c r="G30" s="784">
        <f>SUM(H30:I30)</f>
        <v>129555</v>
      </c>
      <c r="H30" s="784">
        <v>129555</v>
      </c>
      <c r="I30" s="784"/>
      <c r="J30" s="784"/>
      <c r="K30" s="784"/>
      <c r="L30" s="785"/>
    </row>
    <row r="31" spans="1:13" s="683" customFormat="1" ht="12.75">
      <c r="A31" s="3455"/>
      <c r="B31" s="3495"/>
      <c r="C31" s="3498"/>
      <c r="D31" s="783">
        <v>4110</v>
      </c>
      <c r="E31" s="784">
        <f t="shared" si="9"/>
        <v>22271</v>
      </c>
      <c r="F31" s="784">
        <f t="shared" ref="F31:F32" si="12">SUM(G31,J31,K31)</f>
        <v>22271</v>
      </c>
      <c r="G31" s="784">
        <f t="shared" ref="G31:G32" si="13">SUM(H31:I31)</f>
        <v>22271</v>
      </c>
      <c r="H31" s="784">
        <v>22271</v>
      </c>
      <c r="I31" s="784"/>
      <c r="J31" s="784"/>
      <c r="K31" s="784"/>
      <c r="L31" s="785"/>
      <c r="M31" s="682"/>
    </row>
    <row r="32" spans="1:13" s="683" customFormat="1" ht="12.75">
      <c r="A32" s="3455"/>
      <c r="B32" s="3496"/>
      <c r="C32" s="3499"/>
      <c r="D32" s="783">
        <v>4120</v>
      </c>
      <c r="E32" s="784">
        <f t="shared" si="9"/>
        <v>3174</v>
      </c>
      <c r="F32" s="784">
        <f t="shared" si="12"/>
        <v>3174</v>
      </c>
      <c r="G32" s="784">
        <f t="shared" si="13"/>
        <v>3174</v>
      </c>
      <c r="H32" s="784">
        <v>3174</v>
      </c>
      <c r="I32" s="784"/>
      <c r="J32" s="784"/>
      <c r="K32" s="784"/>
      <c r="L32" s="785"/>
    </row>
    <row r="33" spans="1:13" ht="24" customHeight="1">
      <c r="A33" s="3455"/>
      <c r="B33" s="3494" t="s">
        <v>704</v>
      </c>
      <c r="C33" s="3497" t="s">
        <v>318</v>
      </c>
      <c r="D33" s="780" t="s">
        <v>945</v>
      </c>
      <c r="E33" s="781">
        <f>SUM(F33,L33)</f>
        <v>20000</v>
      </c>
      <c r="F33" s="781">
        <f>SUM(G33,J33,K33)</f>
        <v>20000</v>
      </c>
      <c r="G33" s="781">
        <f>SUM(H33:I33)</f>
        <v>20000</v>
      </c>
      <c r="H33" s="781">
        <f>SUM(H34:H38)</f>
        <v>11270</v>
      </c>
      <c r="I33" s="781">
        <f>SUM(I34:I38)</f>
        <v>8730</v>
      </c>
      <c r="J33" s="790"/>
      <c r="K33" s="790"/>
      <c r="L33" s="791"/>
    </row>
    <row r="34" spans="1:13" ht="12.75">
      <c r="A34" s="3455"/>
      <c r="B34" s="3495"/>
      <c r="C34" s="3498"/>
      <c r="D34" s="783">
        <v>4110</v>
      </c>
      <c r="E34" s="784">
        <f>SUM(F34,L34)</f>
        <v>700</v>
      </c>
      <c r="F34" s="784">
        <f>SUM(G34,J34,K34)</f>
        <v>700</v>
      </c>
      <c r="G34" s="784">
        <f>SUM(H34:I34)</f>
        <v>700</v>
      </c>
      <c r="H34" s="784">
        <v>700</v>
      </c>
      <c r="I34" s="784"/>
      <c r="J34" s="794"/>
      <c r="K34" s="794"/>
      <c r="L34" s="795"/>
    </row>
    <row r="35" spans="1:13" ht="12.75">
      <c r="A35" s="3455"/>
      <c r="B35" s="3495"/>
      <c r="C35" s="3498"/>
      <c r="D35" s="783">
        <v>4120</v>
      </c>
      <c r="E35" s="784">
        <f t="shared" ref="E35:E50" si="14">SUM(F35,L35)</f>
        <v>140</v>
      </c>
      <c r="F35" s="784">
        <f t="shared" ref="F35:F38" si="15">SUM(G35,J35,K35)</f>
        <v>140</v>
      </c>
      <c r="G35" s="784">
        <f t="shared" ref="G35:G55" si="16">SUM(H35:I35)</f>
        <v>140</v>
      </c>
      <c r="H35" s="784">
        <v>140</v>
      </c>
      <c r="I35" s="784"/>
      <c r="J35" s="794"/>
      <c r="K35" s="794"/>
      <c r="L35" s="795"/>
    </row>
    <row r="36" spans="1:13" ht="12.75">
      <c r="A36" s="3455"/>
      <c r="B36" s="3495"/>
      <c r="C36" s="3498"/>
      <c r="D36" s="783">
        <v>4170</v>
      </c>
      <c r="E36" s="784">
        <f t="shared" si="14"/>
        <v>10430</v>
      </c>
      <c r="F36" s="784">
        <f t="shared" si="15"/>
        <v>10430</v>
      </c>
      <c r="G36" s="784">
        <f t="shared" si="16"/>
        <v>10430</v>
      </c>
      <c r="H36" s="784">
        <v>10430</v>
      </c>
      <c r="I36" s="784"/>
      <c r="J36" s="794"/>
      <c r="K36" s="794"/>
      <c r="L36" s="795"/>
      <c r="M36" s="181"/>
    </row>
    <row r="37" spans="1:13" ht="12.75">
      <c r="A37" s="3455"/>
      <c r="B37" s="3495"/>
      <c r="C37" s="3498"/>
      <c r="D37" s="783">
        <v>4210</v>
      </c>
      <c r="E37" s="784">
        <f t="shared" si="14"/>
        <v>3500</v>
      </c>
      <c r="F37" s="784">
        <f t="shared" si="15"/>
        <v>3500</v>
      </c>
      <c r="G37" s="784">
        <f t="shared" si="16"/>
        <v>3500</v>
      </c>
      <c r="H37" s="784"/>
      <c r="I37" s="784">
        <v>3500</v>
      </c>
      <c r="J37" s="794"/>
      <c r="K37" s="794"/>
      <c r="L37" s="795"/>
    </row>
    <row r="38" spans="1:13" ht="12.75">
      <c r="A38" s="3455"/>
      <c r="B38" s="3496"/>
      <c r="C38" s="3499"/>
      <c r="D38" s="783">
        <v>4300</v>
      </c>
      <c r="E38" s="784">
        <f t="shared" si="14"/>
        <v>5230</v>
      </c>
      <c r="F38" s="784">
        <f t="shared" si="15"/>
        <v>5230</v>
      </c>
      <c r="G38" s="784">
        <f t="shared" si="16"/>
        <v>5230</v>
      </c>
      <c r="H38" s="784"/>
      <c r="I38" s="784">
        <v>5230</v>
      </c>
      <c r="J38" s="794"/>
      <c r="K38" s="794"/>
      <c r="L38" s="795"/>
      <c r="M38" s="181"/>
    </row>
    <row r="39" spans="1:13" s="683" customFormat="1" ht="23.25" customHeight="1">
      <c r="A39" s="3455"/>
      <c r="B39" s="3494" t="s">
        <v>710</v>
      </c>
      <c r="C39" s="3497" t="s">
        <v>327</v>
      </c>
      <c r="D39" s="780" t="s">
        <v>945</v>
      </c>
      <c r="E39" s="781">
        <f>SUM(F39,L39)</f>
        <v>201000</v>
      </c>
      <c r="F39" s="781">
        <f>SUM(G39,J39,K39)</f>
        <v>201000</v>
      </c>
      <c r="G39" s="781">
        <f>SUM(H39:I39)</f>
        <v>194000</v>
      </c>
      <c r="H39" s="781">
        <f>SUM(H41:H50)</f>
        <v>145000</v>
      </c>
      <c r="I39" s="781">
        <f>SUM(I41:I50)</f>
        <v>49000</v>
      </c>
      <c r="J39" s="781"/>
      <c r="K39" s="781">
        <f>SUM(K40:K50)</f>
        <v>7000</v>
      </c>
      <c r="L39" s="782"/>
      <c r="M39" s="682"/>
    </row>
    <row r="40" spans="1:13" s="685" customFormat="1" ht="12.75">
      <c r="A40" s="3455"/>
      <c r="B40" s="3495"/>
      <c r="C40" s="3498"/>
      <c r="D40" s="783">
        <v>3030</v>
      </c>
      <c r="E40" s="784">
        <f t="shared" si="14"/>
        <v>7000</v>
      </c>
      <c r="F40" s="784">
        <f>SUM(G40,J40,K40)</f>
        <v>7000</v>
      </c>
      <c r="G40" s="784"/>
      <c r="H40" s="784"/>
      <c r="I40" s="784"/>
      <c r="J40" s="784"/>
      <c r="K40" s="784">
        <v>7000</v>
      </c>
      <c r="L40" s="785"/>
      <c r="M40" s="684"/>
    </row>
    <row r="41" spans="1:13" s="683" customFormat="1" ht="12.75">
      <c r="A41" s="3455"/>
      <c r="B41" s="3495"/>
      <c r="C41" s="3498"/>
      <c r="D41" s="783">
        <v>4010</v>
      </c>
      <c r="E41" s="784">
        <f t="shared" si="14"/>
        <v>119525</v>
      </c>
      <c r="F41" s="784">
        <f>SUM(G41,J41,K41)</f>
        <v>119525</v>
      </c>
      <c r="G41" s="784">
        <f>SUM(H41:I41)</f>
        <v>119525</v>
      </c>
      <c r="H41" s="784">
        <v>119525</v>
      </c>
      <c r="I41" s="784"/>
      <c r="J41" s="784"/>
      <c r="K41" s="784"/>
      <c r="L41" s="785"/>
    </row>
    <row r="42" spans="1:13" s="683" customFormat="1" ht="12.75">
      <c r="A42" s="3455"/>
      <c r="B42" s="3495"/>
      <c r="C42" s="3498"/>
      <c r="D42" s="783">
        <v>4110</v>
      </c>
      <c r="E42" s="784">
        <f t="shared" si="14"/>
        <v>20547</v>
      </c>
      <c r="F42" s="784">
        <f t="shared" ref="F42:F50" si="17">SUM(G42,J42,K42)</f>
        <v>20547</v>
      </c>
      <c r="G42" s="784">
        <f t="shared" ref="G42:G50" si="18">SUM(H42:I42)</f>
        <v>20547</v>
      </c>
      <c r="H42" s="784">
        <v>20547</v>
      </c>
      <c r="I42" s="784"/>
      <c r="J42" s="784"/>
      <c r="K42" s="784"/>
      <c r="L42" s="785"/>
    </row>
    <row r="43" spans="1:13" s="683" customFormat="1" ht="12.75">
      <c r="A43" s="3455"/>
      <c r="B43" s="3495"/>
      <c r="C43" s="3498"/>
      <c r="D43" s="783">
        <v>4120</v>
      </c>
      <c r="E43" s="784">
        <f t="shared" si="14"/>
        <v>2928</v>
      </c>
      <c r="F43" s="784">
        <f t="shared" si="17"/>
        <v>2928</v>
      </c>
      <c r="G43" s="784">
        <f t="shared" si="18"/>
        <v>2928</v>
      </c>
      <c r="H43" s="784">
        <v>2928</v>
      </c>
      <c r="I43" s="784"/>
      <c r="J43" s="784"/>
      <c r="K43" s="784"/>
      <c r="L43" s="785"/>
    </row>
    <row r="44" spans="1:13" s="683" customFormat="1" ht="12.75">
      <c r="A44" s="3455"/>
      <c r="B44" s="3495"/>
      <c r="C44" s="3498"/>
      <c r="D44" s="783">
        <v>4170</v>
      </c>
      <c r="E44" s="784">
        <f t="shared" si="14"/>
        <v>2000</v>
      </c>
      <c r="F44" s="784">
        <f t="shared" si="17"/>
        <v>2000</v>
      </c>
      <c r="G44" s="784">
        <f t="shared" si="18"/>
        <v>2000</v>
      </c>
      <c r="H44" s="784">
        <v>2000</v>
      </c>
      <c r="I44" s="784"/>
      <c r="J44" s="784"/>
      <c r="K44" s="784"/>
      <c r="L44" s="785"/>
    </row>
    <row r="45" spans="1:13" s="683" customFormat="1" ht="12.75">
      <c r="A45" s="3455"/>
      <c r="B45" s="3495"/>
      <c r="C45" s="3498"/>
      <c r="D45" s="783">
        <v>4210</v>
      </c>
      <c r="E45" s="784">
        <f t="shared" si="14"/>
        <v>22000</v>
      </c>
      <c r="F45" s="784">
        <f t="shared" si="17"/>
        <v>22000</v>
      </c>
      <c r="G45" s="784">
        <f t="shared" si="18"/>
        <v>22000</v>
      </c>
      <c r="H45" s="784"/>
      <c r="I45" s="784">
        <v>22000</v>
      </c>
      <c r="J45" s="784"/>
      <c r="K45" s="784"/>
      <c r="L45" s="785"/>
    </row>
    <row r="46" spans="1:13" s="683" customFormat="1" ht="12.75">
      <c r="A46" s="3455"/>
      <c r="B46" s="3495"/>
      <c r="C46" s="3498"/>
      <c r="D46" s="783">
        <v>4220</v>
      </c>
      <c r="E46" s="784">
        <f t="shared" si="14"/>
        <v>1000</v>
      </c>
      <c r="F46" s="784">
        <f t="shared" si="17"/>
        <v>1000</v>
      </c>
      <c r="G46" s="784">
        <f t="shared" si="18"/>
        <v>1000</v>
      </c>
      <c r="H46" s="784"/>
      <c r="I46" s="784">
        <v>1000</v>
      </c>
      <c r="J46" s="784"/>
      <c r="K46" s="784"/>
      <c r="L46" s="785"/>
    </row>
    <row r="47" spans="1:13" s="683" customFormat="1" ht="12.75">
      <c r="A47" s="3455"/>
      <c r="B47" s="3495"/>
      <c r="C47" s="3498"/>
      <c r="D47" s="783">
        <v>4300</v>
      </c>
      <c r="E47" s="784">
        <f t="shared" si="14"/>
        <v>20000</v>
      </c>
      <c r="F47" s="784">
        <f t="shared" si="17"/>
        <v>20000</v>
      </c>
      <c r="G47" s="784">
        <f t="shared" si="18"/>
        <v>20000</v>
      </c>
      <c r="H47" s="784"/>
      <c r="I47" s="784">
        <v>20000</v>
      </c>
      <c r="J47" s="784"/>
      <c r="K47" s="784"/>
      <c r="L47" s="785"/>
    </row>
    <row r="48" spans="1:13" s="683" customFormat="1" ht="12.75">
      <c r="A48" s="3455"/>
      <c r="B48" s="3495"/>
      <c r="C48" s="3498"/>
      <c r="D48" s="783">
        <v>4390</v>
      </c>
      <c r="E48" s="784">
        <f t="shared" si="14"/>
        <v>2000</v>
      </c>
      <c r="F48" s="784">
        <f t="shared" si="17"/>
        <v>2000</v>
      </c>
      <c r="G48" s="784">
        <f t="shared" si="18"/>
        <v>2000</v>
      </c>
      <c r="H48" s="784"/>
      <c r="I48" s="784">
        <v>2000</v>
      </c>
      <c r="J48" s="784"/>
      <c r="K48" s="784"/>
      <c r="L48" s="785"/>
    </row>
    <row r="49" spans="1:13" s="683" customFormat="1" ht="12.75">
      <c r="A49" s="3455"/>
      <c r="B49" s="3495"/>
      <c r="C49" s="3498"/>
      <c r="D49" s="783">
        <v>4410</v>
      </c>
      <c r="E49" s="784">
        <f t="shared" si="14"/>
        <v>2000</v>
      </c>
      <c r="F49" s="784">
        <f t="shared" si="17"/>
        <v>2000</v>
      </c>
      <c r="G49" s="784">
        <f t="shared" si="18"/>
        <v>2000</v>
      </c>
      <c r="H49" s="784"/>
      <c r="I49" s="784">
        <v>2000</v>
      </c>
      <c r="J49" s="784"/>
      <c r="K49" s="784"/>
      <c r="L49" s="785"/>
      <c r="M49" s="682"/>
    </row>
    <row r="50" spans="1:13" s="683" customFormat="1" ht="12.75">
      <c r="A50" s="3456"/>
      <c r="B50" s="3496"/>
      <c r="C50" s="3499"/>
      <c r="D50" s="783">
        <v>4700</v>
      </c>
      <c r="E50" s="784">
        <f t="shared" si="14"/>
        <v>2000</v>
      </c>
      <c r="F50" s="784">
        <f t="shared" si="17"/>
        <v>2000</v>
      </c>
      <c r="G50" s="784">
        <f t="shared" si="18"/>
        <v>2000</v>
      </c>
      <c r="H50" s="784"/>
      <c r="I50" s="784">
        <v>2000</v>
      </c>
      <c r="J50" s="784"/>
      <c r="K50" s="784"/>
      <c r="L50" s="785"/>
    </row>
    <row r="51" spans="1:13" ht="30.75" customHeight="1">
      <c r="A51" s="3466" t="s">
        <v>120</v>
      </c>
      <c r="B51" s="3501" t="s">
        <v>934</v>
      </c>
      <c r="C51" s="3501"/>
      <c r="D51" s="792"/>
      <c r="E51" s="787">
        <f>SUM(E52:E53)</f>
        <v>55000</v>
      </c>
      <c r="F51" s="787">
        <f>SUM(F52:F53)</f>
        <v>55000</v>
      </c>
      <c r="G51" s="787">
        <f>SUM(H51:I51)</f>
        <v>55000</v>
      </c>
      <c r="H51" s="787">
        <f>H52+H53</f>
        <v>27200</v>
      </c>
      <c r="I51" s="787">
        <f>I52+I53</f>
        <v>27800</v>
      </c>
      <c r="J51" s="787"/>
      <c r="K51" s="787"/>
      <c r="L51" s="788">
        <f>SUM(L52,L53)</f>
        <v>0</v>
      </c>
    </row>
    <row r="52" spans="1:13" ht="84.75" customHeight="1">
      <c r="A52" s="3455"/>
      <c r="B52" s="789" t="s">
        <v>829</v>
      </c>
      <c r="C52" s="780" t="s">
        <v>405</v>
      </c>
      <c r="D52" s="780">
        <v>4130</v>
      </c>
      <c r="E52" s="781">
        <f t="shared" ref="E52" si="19">SUM(F52,L52)</f>
        <v>25000</v>
      </c>
      <c r="F52" s="781">
        <f>SUM(G52,J52,K52)</f>
        <v>25000</v>
      </c>
      <c r="G52" s="781">
        <f t="shared" si="16"/>
        <v>25000</v>
      </c>
      <c r="H52" s="781"/>
      <c r="I52" s="781">
        <v>25000</v>
      </c>
      <c r="J52" s="781"/>
      <c r="K52" s="781"/>
      <c r="L52" s="782"/>
    </row>
    <row r="53" spans="1:13" ht="24" customHeight="1">
      <c r="A53" s="3455"/>
      <c r="B53" s="3494" t="s">
        <v>832</v>
      </c>
      <c r="C53" s="3497" t="s">
        <v>239</v>
      </c>
      <c r="D53" s="780" t="s">
        <v>945</v>
      </c>
      <c r="E53" s="781">
        <f>SUM(F53,L53)</f>
        <v>30000</v>
      </c>
      <c r="F53" s="781">
        <f>SUM(G53,J53,K53)</f>
        <v>30000</v>
      </c>
      <c r="G53" s="781">
        <f t="shared" si="16"/>
        <v>30000</v>
      </c>
      <c r="H53" s="781">
        <f>SUM(H54:H55)</f>
        <v>27200</v>
      </c>
      <c r="I53" s="781">
        <f>SUM(I54:I55)</f>
        <v>2800</v>
      </c>
      <c r="J53" s="790"/>
      <c r="K53" s="790"/>
      <c r="L53" s="791"/>
    </row>
    <row r="54" spans="1:13" ht="12.75">
      <c r="A54" s="3455"/>
      <c r="B54" s="3495"/>
      <c r="C54" s="3498"/>
      <c r="D54" s="783">
        <v>4170</v>
      </c>
      <c r="E54" s="784">
        <f>SUM(F54,L54)</f>
        <v>27200</v>
      </c>
      <c r="F54" s="784">
        <f>SUM(G54,J54,K54)</f>
        <v>27200</v>
      </c>
      <c r="G54" s="784">
        <f t="shared" si="16"/>
        <v>27200</v>
      </c>
      <c r="H54" s="784">
        <v>27200</v>
      </c>
      <c r="I54" s="784"/>
      <c r="J54" s="784"/>
      <c r="K54" s="784"/>
      <c r="L54" s="785"/>
    </row>
    <row r="55" spans="1:13" ht="12.75">
      <c r="A55" s="3456"/>
      <c r="B55" s="3496"/>
      <c r="C55" s="3499"/>
      <c r="D55" s="783">
        <v>4300</v>
      </c>
      <c r="E55" s="784">
        <f t="shared" ref="E55" si="20">SUM(F55,L55)</f>
        <v>2800</v>
      </c>
      <c r="F55" s="784">
        <f t="shared" ref="F55" si="21">SUM(G55,J55,K55)</f>
        <v>2800</v>
      </c>
      <c r="G55" s="784">
        <f t="shared" si="16"/>
        <v>2800</v>
      </c>
      <c r="H55" s="784"/>
      <c r="I55" s="784">
        <v>2800</v>
      </c>
      <c r="J55" s="784"/>
      <c r="K55" s="784"/>
      <c r="L55" s="785"/>
    </row>
    <row r="56" spans="1:13" ht="32.25" customHeight="1">
      <c r="A56" s="3466" t="s">
        <v>126</v>
      </c>
      <c r="B56" s="3506" t="s">
        <v>415</v>
      </c>
      <c r="C56" s="3506"/>
      <c r="D56" s="686"/>
      <c r="E56" s="680">
        <f>SUM(F56,L56)</f>
        <v>1000</v>
      </c>
      <c r="F56" s="680">
        <f t="shared" ref="F56:K56" si="22">SUM(F57)</f>
        <v>1000</v>
      </c>
      <c r="G56" s="680">
        <f>SUM(H56:I56)</f>
        <v>870</v>
      </c>
      <c r="H56" s="680">
        <f>SUM(H57)</f>
        <v>620</v>
      </c>
      <c r="I56" s="680">
        <f t="shared" si="22"/>
        <v>250</v>
      </c>
      <c r="J56" s="680"/>
      <c r="K56" s="680">
        <f t="shared" si="22"/>
        <v>130</v>
      </c>
      <c r="L56" s="681"/>
    </row>
    <row r="57" spans="1:13" s="683" customFormat="1" ht="30.75" customHeight="1">
      <c r="A57" s="3455"/>
      <c r="B57" s="3494" t="s">
        <v>859</v>
      </c>
      <c r="C57" s="3507" t="s">
        <v>860</v>
      </c>
      <c r="D57" s="796" t="s">
        <v>945</v>
      </c>
      <c r="E57" s="781">
        <f>SUM(F57,L57)</f>
        <v>1000</v>
      </c>
      <c r="F57" s="781">
        <f>SUM(G57,J57,K57)</f>
        <v>1000</v>
      </c>
      <c r="G57" s="781">
        <f>SUM(H57:I57)</f>
        <v>870</v>
      </c>
      <c r="H57" s="781">
        <f>SUM(H58:H60)</f>
        <v>620</v>
      </c>
      <c r="I57" s="781">
        <f>SUM(I58:I60)</f>
        <v>250</v>
      </c>
      <c r="J57" s="781"/>
      <c r="K57" s="781">
        <f t="shared" ref="K57" si="23">SUM(K58:K60)</f>
        <v>130</v>
      </c>
      <c r="L57" s="782"/>
    </row>
    <row r="58" spans="1:13" s="683" customFormat="1" ht="12.75">
      <c r="A58" s="3455"/>
      <c r="B58" s="3495"/>
      <c r="C58" s="3508"/>
      <c r="D58" s="797">
        <v>3030</v>
      </c>
      <c r="E58" s="784">
        <f>SUM(F58,L58)</f>
        <v>130</v>
      </c>
      <c r="F58" s="784">
        <f>SUM(G58,J58,K58)</f>
        <v>130</v>
      </c>
      <c r="G58" s="784"/>
      <c r="H58" s="784"/>
      <c r="I58" s="784"/>
      <c r="J58" s="784"/>
      <c r="K58" s="784">
        <v>130</v>
      </c>
      <c r="L58" s="785"/>
    </row>
    <row r="59" spans="1:13" s="683" customFormat="1" ht="12.75">
      <c r="A59" s="3455"/>
      <c r="B59" s="3495"/>
      <c r="C59" s="3508"/>
      <c r="D59" s="797">
        <v>4170</v>
      </c>
      <c r="E59" s="784">
        <f t="shared" ref="E59:E80" si="24">SUM(F59,L59)</f>
        <v>620</v>
      </c>
      <c r="F59" s="784">
        <f t="shared" ref="F59:F60" si="25">SUM(G59,J59,K59)</f>
        <v>620</v>
      </c>
      <c r="G59" s="784">
        <f t="shared" ref="G59:G60" si="26">SUM(H59:I59)</f>
        <v>620</v>
      </c>
      <c r="H59" s="784">
        <v>620</v>
      </c>
      <c r="I59" s="784"/>
      <c r="J59" s="784"/>
      <c r="K59" s="784"/>
      <c r="L59" s="785"/>
    </row>
    <row r="60" spans="1:13" s="683" customFormat="1" ht="12.75">
      <c r="A60" s="3455"/>
      <c r="B60" s="3495"/>
      <c r="C60" s="3508"/>
      <c r="D60" s="798">
        <v>4210</v>
      </c>
      <c r="E60" s="799">
        <f t="shared" si="24"/>
        <v>250</v>
      </c>
      <c r="F60" s="799">
        <f t="shared" si="25"/>
        <v>250</v>
      </c>
      <c r="G60" s="799">
        <f t="shared" si="26"/>
        <v>250</v>
      </c>
      <c r="H60" s="799"/>
      <c r="I60" s="799">
        <v>250</v>
      </c>
      <c r="J60" s="799"/>
      <c r="K60" s="799"/>
      <c r="L60" s="800"/>
      <c r="M60" s="682"/>
    </row>
    <row r="61" spans="1:13" ht="25.5" customHeight="1">
      <c r="A61" s="3466" t="s">
        <v>158</v>
      </c>
      <c r="B61" s="3500" t="s">
        <v>163</v>
      </c>
      <c r="C61" s="3500"/>
      <c r="D61" s="786"/>
      <c r="E61" s="787">
        <f t="shared" si="24"/>
        <v>822000</v>
      </c>
      <c r="F61" s="787">
        <f>SUM(G61,J61,K61)</f>
        <v>822000</v>
      </c>
      <c r="G61" s="787">
        <f>SUM(H61:I61)</f>
        <v>819800</v>
      </c>
      <c r="H61" s="787">
        <f>SUM(H62)</f>
        <v>686177</v>
      </c>
      <c r="I61" s="787">
        <f>SUM(I62)</f>
        <v>133623</v>
      </c>
      <c r="J61" s="787"/>
      <c r="K61" s="787">
        <f>SUM(K62)</f>
        <v>2200</v>
      </c>
      <c r="L61" s="788"/>
    </row>
    <row r="62" spans="1:13" ht="31.5" customHeight="1">
      <c r="A62" s="3455"/>
      <c r="B62" s="3494" t="s">
        <v>873</v>
      </c>
      <c r="C62" s="3497" t="s">
        <v>947</v>
      </c>
      <c r="D62" s="780" t="s">
        <v>945</v>
      </c>
      <c r="E62" s="781">
        <f t="shared" si="24"/>
        <v>822000</v>
      </c>
      <c r="F62" s="781">
        <f>SUM(G62,J62,K62)</f>
        <v>822000</v>
      </c>
      <c r="G62" s="781">
        <f>SUM(H62:I62)</f>
        <v>819800</v>
      </c>
      <c r="H62" s="781">
        <f>SUM(H63:H80)</f>
        <v>686177</v>
      </c>
      <c r="I62" s="781">
        <f>SUM(I63:I80)</f>
        <v>133623</v>
      </c>
      <c r="J62" s="781"/>
      <c r="K62" s="781">
        <f>SUM(K63:K80)</f>
        <v>2200</v>
      </c>
      <c r="L62" s="782"/>
      <c r="M62" s="181"/>
    </row>
    <row r="63" spans="1:13" ht="16.5" customHeight="1">
      <c r="A63" s="3455"/>
      <c r="B63" s="3495"/>
      <c r="C63" s="3498"/>
      <c r="D63" s="783">
        <v>3020</v>
      </c>
      <c r="E63" s="784">
        <f t="shared" si="24"/>
        <v>2200</v>
      </c>
      <c r="F63" s="784">
        <f>SUM(G63,J63,K63)</f>
        <v>2200</v>
      </c>
      <c r="G63" s="784"/>
      <c r="H63" s="784"/>
      <c r="I63" s="784"/>
      <c r="J63" s="784"/>
      <c r="K63" s="784">
        <v>2200</v>
      </c>
      <c r="L63" s="785"/>
      <c r="M63" s="181"/>
    </row>
    <row r="64" spans="1:13" ht="15" customHeight="1">
      <c r="A64" s="3455"/>
      <c r="B64" s="3495"/>
      <c r="C64" s="3498"/>
      <c r="D64" s="783">
        <v>4010</v>
      </c>
      <c r="E64" s="784">
        <f t="shared" si="24"/>
        <v>500807</v>
      </c>
      <c r="F64" s="784">
        <f>SUM(G64,J64,K64)</f>
        <v>500807</v>
      </c>
      <c r="G64" s="784">
        <f>SUM(H64:I64)</f>
        <v>500807</v>
      </c>
      <c r="H64" s="784">
        <v>500807</v>
      </c>
      <c r="I64" s="784"/>
      <c r="J64" s="784"/>
      <c r="K64" s="784"/>
      <c r="L64" s="785"/>
    </row>
    <row r="65" spans="1:12" ht="15" customHeight="1">
      <c r="A65" s="3455"/>
      <c r="B65" s="3495"/>
      <c r="C65" s="3498"/>
      <c r="D65" s="783">
        <v>4040</v>
      </c>
      <c r="E65" s="784">
        <f t="shared" si="24"/>
        <v>74194</v>
      </c>
      <c r="F65" s="784">
        <f t="shared" ref="F65:F80" si="27">SUM(G65,J65,K65)</f>
        <v>74194</v>
      </c>
      <c r="G65" s="784">
        <f t="shared" ref="G65:G80" si="28">SUM(H65:I65)</f>
        <v>74194</v>
      </c>
      <c r="H65" s="784">
        <v>74194</v>
      </c>
      <c r="I65" s="784"/>
      <c r="J65" s="784"/>
      <c r="K65" s="784"/>
      <c r="L65" s="785"/>
    </row>
    <row r="66" spans="1:12" ht="15" customHeight="1">
      <c r="A66" s="3455"/>
      <c r="B66" s="3495"/>
      <c r="C66" s="3498"/>
      <c r="D66" s="783">
        <v>4110</v>
      </c>
      <c r="E66" s="784">
        <f t="shared" si="24"/>
        <v>97348</v>
      </c>
      <c r="F66" s="784">
        <f t="shared" si="27"/>
        <v>97348</v>
      </c>
      <c r="G66" s="784">
        <f t="shared" si="28"/>
        <v>97348</v>
      </c>
      <c r="H66" s="784">
        <v>97348</v>
      </c>
      <c r="I66" s="784"/>
      <c r="J66" s="784"/>
      <c r="K66" s="784"/>
      <c r="L66" s="785"/>
    </row>
    <row r="67" spans="1:12" ht="15" customHeight="1">
      <c r="A67" s="3455"/>
      <c r="B67" s="3495"/>
      <c r="C67" s="3498"/>
      <c r="D67" s="783">
        <v>4120</v>
      </c>
      <c r="E67" s="784">
        <f t="shared" si="24"/>
        <v>13828</v>
      </c>
      <c r="F67" s="784">
        <f t="shared" si="27"/>
        <v>13828</v>
      </c>
      <c r="G67" s="784">
        <f t="shared" si="28"/>
        <v>13828</v>
      </c>
      <c r="H67" s="784">
        <v>13828</v>
      </c>
      <c r="I67" s="784"/>
      <c r="J67" s="784"/>
      <c r="K67" s="784"/>
      <c r="L67" s="785"/>
    </row>
    <row r="68" spans="1:12" ht="15" customHeight="1">
      <c r="A68" s="3455"/>
      <c r="B68" s="3495"/>
      <c r="C68" s="3498"/>
      <c r="D68" s="783">
        <v>4140</v>
      </c>
      <c r="E68" s="784">
        <f t="shared" si="24"/>
        <v>4000</v>
      </c>
      <c r="F68" s="784">
        <f t="shared" si="27"/>
        <v>4000</v>
      </c>
      <c r="G68" s="784">
        <f t="shared" si="28"/>
        <v>4000</v>
      </c>
      <c r="H68" s="784"/>
      <c r="I68" s="784">
        <v>4000</v>
      </c>
      <c r="J68" s="784"/>
      <c r="K68" s="784"/>
      <c r="L68" s="785"/>
    </row>
    <row r="69" spans="1:12" ht="15" customHeight="1">
      <c r="A69" s="3455"/>
      <c r="B69" s="3495"/>
      <c r="C69" s="3498"/>
      <c r="D69" s="783">
        <v>4210</v>
      </c>
      <c r="E69" s="784">
        <f t="shared" si="24"/>
        <v>22760</v>
      </c>
      <c r="F69" s="784">
        <f t="shared" si="27"/>
        <v>22760</v>
      </c>
      <c r="G69" s="784">
        <f t="shared" si="28"/>
        <v>22760</v>
      </c>
      <c r="H69" s="784"/>
      <c r="I69" s="784">
        <v>22760</v>
      </c>
      <c r="J69" s="784"/>
      <c r="K69" s="784"/>
      <c r="L69" s="785"/>
    </row>
    <row r="70" spans="1:12" ht="15" customHeight="1">
      <c r="A70" s="3455"/>
      <c r="B70" s="3495"/>
      <c r="C70" s="3498"/>
      <c r="D70" s="783">
        <v>4220</v>
      </c>
      <c r="E70" s="784">
        <f t="shared" si="24"/>
        <v>5000</v>
      </c>
      <c r="F70" s="784">
        <f t="shared" si="27"/>
        <v>5000</v>
      </c>
      <c r="G70" s="784">
        <f t="shared" si="28"/>
        <v>5000</v>
      </c>
      <c r="H70" s="784"/>
      <c r="I70" s="784">
        <v>5000</v>
      </c>
      <c r="J70" s="784"/>
      <c r="K70" s="784"/>
      <c r="L70" s="785"/>
    </row>
    <row r="71" spans="1:12" ht="15" customHeight="1">
      <c r="A71" s="3455"/>
      <c r="B71" s="3495"/>
      <c r="C71" s="3498"/>
      <c r="D71" s="783">
        <v>4260</v>
      </c>
      <c r="E71" s="784">
        <f t="shared" si="24"/>
        <v>12024</v>
      </c>
      <c r="F71" s="784">
        <f t="shared" si="27"/>
        <v>12024</v>
      </c>
      <c r="G71" s="784">
        <f t="shared" si="28"/>
        <v>12024</v>
      </c>
      <c r="H71" s="784"/>
      <c r="I71" s="784">
        <v>12024</v>
      </c>
      <c r="J71" s="784"/>
      <c r="K71" s="784"/>
      <c r="L71" s="785"/>
    </row>
    <row r="72" spans="1:12" ht="15" customHeight="1">
      <c r="A72" s="3455"/>
      <c r="B72" s="3495"/>
      <c r="C72" s="3498"/>
      <c r="D72" s="783">
        <v>4270</v>
      </c>
      <c r="E72" s="784">
        <f t="shared" si="24"/>
        <v>3116</v>
      </c>
      <c r="F72" s="784">
        <f t="shared" si="27"/>
        <v>3116</v>
      </c>
      <c r="G72" s="784">
        <f t="shared" si="28"/>
        <v>3116</v>
      </c>
      <c r="H72" s="784"/>
      <c r="I72" s="784">
        <v>3116</v>
      </c>
      <c r="J72" s="784"/>
      <c r="K72" s="784"/>
      <c r="L72" s="785"/>
    </row>
    <row r="73" spans="1:12" ht="15" customHeight="1">
      <c r="A73" s="3455"/>
      <c r="B73" s="3495"/>
      <c r="C73" s="3498"/>
      <c r="D73" s="783">
        <v>4280</v>
      </c>
      <c r="E73" s="784">
        <f t="shared" si="24"/>
        <v>1000</v>
      </c>
      <c r="F73" s="784">
        <f t="shared" si="27"/>
        <v>1000</v>
      </c>
      <c r="G73" s="784">
        <f t="shared" si="28"/>
        <v>1000</v>
      </c>
      <c r="H73" s="784"/>
      <c r="I73" s="784">
        <v>1000</v>
      </c>
      <c r="J73" s="784"/>
      <c r="K73" s="784"/>
      <c r="L73" s="785"/>
    </row>
    <row r="74" spans="1:12" ht="15" customHeight="1">
      <c r="A74" s="3455"/>
      <c r="B74" s="3495"/>
      <c r="C74" s="3498"/>
      <c r="D74" s="783">
        <v>4300</v>
      </c>
      <c r="E74" s="784">
        <f t="shared" si="24"/>
        <v>46852</v>
      </c>
      <c r="F74" s="784">
        <f t="shared" si="27"/>
        <v>46852</v>
      </c>
      <c r="G74" s="784">
        <f t="shared" si="28"/>
        <v>46852</v>
      </c>
      <c r="H74" s="784"/>
      <c r="I74" s="784">
        <v>46852</v>
      </c>
      <c r="J74" s="784"/>
      <c r="K74" s="784"/>
      <c r="L74" s="785"/>
    </row>
    <row r="75" spans="1:12" ht="15" customHeight="1">
      <c r="A75" s="3455"/>
      <c r="B75" s="3495"/>
      <c r="C75" s="3498"/>
      <c r="D75" s="783">
        <v>4360</v>
      </c>
      <c r="E75" s="784">
        <f t="shared" si="24"/>
        <v>4233</v>
      </c>
      <c r="F75" s="784">
        <f t="shared" si="27"/>
        <v>4233</v>
      </c>
      <c r="G75" s="784">
        <f t="shared" si="28"/>
        <v>4233</v>
      </c>
      <c r="H75" s="784"/>
      <c r="I75" s="784">
        <v>4233</v>
      </c>
      <c r="J75" s="784"/>
      <c r="K75" s="784"/>
      <c r="L75" s="785"/>
    </row>
    <row r="76" spans="1:12" ht="15" customHeight="1">
      <c r="A76" s="3455"/>
      <c r="B76" s="3495"/>
      <c r="C76" s="3498"/>
      <c r="D76" s="783">
        <v>4410</v>
      </c>
      <c r="E76" s="784">
        <f t="shared" si="24"/>
        <v>4000</v>
      </c>
      <c r="F76" s="784">
        <f t="shared" si="27"/>
        <v>4000</v>
      </c>
      <c r="G76" s="784">
        <f t="shared" si="28"/>
        <v>4000</v>
      </c>
      <c r="H76" s="784"/>
      <c r="I76" s="784">
        <v>4000</v>
      </c>
      <c r="J76" s="784"/>
      <c r="K76" s="784"/>
      <c r="L76" s="785"/>
    </row>
    <row r="77" spans="1:12" ht="15" customHeight="1">
      <c r="A77" s="3455"/>
      <c r="B77" s="3495"/>
      <c r="C77" s="3498"/>
      <c r="D77" s="783">
        <v>4440</v>
      </c>
      <c r="E77" s="784">
        <f t="shared" si="24"/>
        <v>22029</v>
      </c>
      <c r="F77" s="784">
        <f t="shared" si="27"/>
        <v>22029</v>
      </c>
      <c r="G77" s="784">
        <f t="shared" si="28"/>
        <v>22029</v>
      </c>
      <c r="H77" s="784"/>
      <c r="I77" s="784">
        <v>22029</v>
      </c>
      <c r="J77" s="784"/>
      <c r="K77" s="784"/>
      <c r="L77" s="785"/>
    </row>
    <row r="78" spans="1:12" ht="15" customHeight="1">
      <c r="A78" s="3455"/>
      <c r="B78" s="3495"/>
      <c r="C78" s="3498"/>
      <c r="D78" s="783">
        <v>4480</v>
      </c>
      <c r="E78" s="784">
        <f t="shared" si="24"/>
        <v>3150</v>
      </c>
      <c r="F78" s="784">
        <f t="shared" si="27"/>
        <v>3150</v>
      </c>
      <c r="G78" s="784">
        <f t="shared" si="28"/>
        <v>3150</v>
      </c>
      <c r="H78" s="784"/>
      <c r="I78" s="784">
        <v>3150</v>
      </c>
      <c r="J78" s="784"/>
      <c r="K78" s="784"/>
      <c r="L78" s="785"/>
    </row>
    <row r="79" spans="1:12" ht="15" customHeight="1">
      <c r="A79" s="3455"/>
      <c r="B79" s="3495"/>
      <c r="C79" s="3498"/>
      <c r="D79" s="783">
        <v>4520</v>
      </c>
      <c r="E79" s="784">
        <f t="shared" si="24"/>
        <v>2459</v>
      </c>
      <c r="F79" s="784">
        <f t="shared" si="27"/>
        <v>2459</v>
      </c>
      <c r="G79" s="784">
        <f t="shared" si="28"/>
        <v>2459</v>
      </c>
      <c r="H79" s="784"/>
      <c r="I79" s="784">
        <v>2459</v>
      </c>
      <c r="J79" s="784"/>
      <c r="K79" s="784"/>
      <c r="L79" s="785"/>
    </row>
    <row r="80" spans="1:12" ht="15" customHeight="1" thickBot="1">
      <c r="A80" s="3509"/>
      <c r="B80" s="3510"/>
      <c r="C80" s="3511"/>
      <c r="D80" s="801">
        <v>4700</v>
      </c>
      <c r="E80" s="802">
        <f t="shared" si="24"/>
        <v>3000</v>
      </c>
      <c r="F80" s="802">
        <f t="shared" si="27"/>
        <v>3000</v>
      </c>
      <c r="G80" s="802">
        <f t="shared" si="28"/>
        <v>3000</v>
      </c>
      <c r="H80" s="802"/>
      <c r="I80" s="802">
        <v>3000</v>
      </c>
      <c r="J80" s="802"/>
      <c r="K80" s="802"/>
      <c r="L80" s="803"/>
    </row>
    <row r="81" spans="1:12" ht="35.1" customHeight="1" thickBot="1">
      <c r="A81" s="3502" t="s">
        <v>61</v>
      </c>
      <c r="B81" s="3503"/>
      <c r="C81" s="3503"/>
      <c r="D81" s="757"/>
      <c r="E81" s="687">
        <f t="shared" ref="E81:L81" si="29">SUM(E56,E61,E51,E28,E23,E11,E6,E18)</f>
        <v>57059000</v>
      </c>
      <c r="F81" s="687">
        <f t="shared" si="29"/>
        <v>57059000</v>
      </c>
      <c r="G81" s="687">
        <f t="shared" si="29"/>
        <v>2049670</v>
      </c>
      <c r="H81" s="687">
        <f t="shared" si="29"/>
        <v>1750267</v>
      </c>
      <c r="I81" s="687">
        <f t="shared" si="29"/>
        <v>299403</v>
      </c>
      <c r="J81" s="687">
        <f t="shared" si="29"/>
        <v>55000000</v>
      </c>
      <c r="K81" s="687">
        <f t="shared" si="29"/>
        <v>9330</v>
      </c>
      <c r="L81" s="675">
        <f t="shared" si="29"/>
        <v>0</v>
      </c>
    </row>
    <row r="82" spans="1:12" ht="12.75">
      <c r="A82" s="688"/>
      <c r="B82" s="689"/>
      <c r="E82" s="181"/>
      <c r="F82" s="181"/>
      <c r="G82" s="181"/>
      <c r="H82" s="181"/>
      <c r="I82" s="181"/>
      <c r="J82" s="181"/>
      <c r="K82" s="181"/>
      <c r="L82" s="181"/>
    </row>
    <row r="83" spans="1:12" ht="12.75">
      <c r="A83" s="688"/>
      <c r="B83" s="689"/>
      <c r="E83" s="181"/>
      <c r="F83" s="181"/>
      <c r="G83" s="181"/>
      <c r="H83" s="181"/>
      <c r="I83" s="181"/>
      <c r="J83" s="181"/>
      <c r="K83" s="181"/>
      <c r="L83" s="181"/>
    </row>
    <row r="84" spans="1:12" ht="12.75">
      <c r="A84" s="688"/>
      <c r="B84" s="689"/>
      <c r="E84" s="181"/>
      <c r="F84" s="181"/>
      <c r="G84" s="181"/>
      <c r="H84" s="181"/>
      <c r="I84" s="181"/>
      <c r="J84" s="181"/>
      <c r="K84" s="181"/>
      <c r="L84" s="181"/>
    </row>
    <row r="85" spans="1:12" ht="12.75">
      <c r="A85" s="688"/>
      <c r="B85" s="689"/>
      <c r="E85" s="181"/>
      <c r="F85" s="181"/>
      <c r="G85" s="181"/>
      <c r="H85" s="181"/>
      <c r="I85" s="181"/>
      <c r="J85" s="181"/>
      <c r="K85" s="181"/>
      <c r="L85" s="181"/>
    </row>
    <row r="86" spans="1:12" ht="12.75">
      <c r="A86" s="688"/>
      <c r="B86" s="689"/>
      <c r="E86" s="181"/>
      <c r="F86" s="181"/>
      <c r="G86" s="181"/>
      <c r="H86" s="181"/>
      <c r="I86" s="181"/>
      <c r="J86" s="181"/>
      <c r="K86" s="181"/>
      <c r="L86" s="181"/>
    </row>
    <row r="87" spans="1:12" ht="12.75">
      <c r="A87" s="3504"/>
      <c r="B87" s="3505"/>
      <c r="C87" s="3505"/>
      <c r="D87" s="3505"/>
      <c r="E87" s="3505"/>
      <c r="F87" s="3505"/>
      <c r="G87" s="3505"/>
      <c r="H87" s="3505"/>
      <c r="I87" s="3505"/>
      <c r="J87" s="3505"/>
      <c r="K87" s="3505"/>
      <c r="L87" s="3505"/>
    </row>
    <row r="88" spans="1:12" ht="12.75">
      <c r="A88" s="688"/>
      <c r="B88" s="689"/>
      <c r="F88" s="181"/>
      <c r="G88" s="181"/>
      <c r="H88" s="181"/>
      <c r="I88" s="181"/>
      <c r="J88" s="181"/>
      <c r="K88" s="181"/>
      <c r="L88" s="181"/>
    </row>
    <row r="89" spans="1:12" ht="12.75">
      <c r="A89" s="688"/>
      <c r="B89" s="689"/>
      <c r="E89" s="181"/>
      <c r="F89" s="181"/>
      <c r="G89" s="181"/>
      <c r="H89" s="181"/>
      <c r="I89" s="181"/>
      <c r="J89" s="181"/>
      <c r="K89" s="181"/>
      <c r="L89" s="181"/>
    </row>
    <row r="90" spans="1:12" ht="12.75">
      <c r="A90" s="688"/>
      <c r="B90" s="689"/>
      <c r="F90" s="181"/>
      <c r="G90" s="181"/>
      <c r="H90" s="181"/>
      <c r="I90" s="181"/>
      <c r="J90" s="181"/>
      <c r="K90" s="181"/>
      <c r="L90" s="181"/>
    </row>
    <row r="91" spans="1:12" ht="12.75">
      <c r="A91" s="688"/>
      <c r="B91" s="689"/>
      <c r="F91" s="181"/>
      <c r="G91" s="181"/>
      <c r="H91" s="181"/>
      <c r="I91" s="181"/>
      <c r="J91" s="181"/>
      <c r="K91" s="181"/>
      <c r="L91" s="181"/>
    </row>
    <row r="92" spans="1:12" ht="12.75">
      <c r="A92" s="688"/>
      <c r="B92" s="689"/>
      <c r="F92" s="181"/>
      <c r="G92" s="181"/>
      <c r="H92" s="181"/>
      <c r="I92" s="181"/>
      <c r="J92" s="181"/>
      <c r="K92" s="181"/>
      <c r="L92" s="181"/>
    </row>
    <row r="93" spans="1:12" ht="12.75">
      <c r="A93" s="688"/>
      <c r="B93" s="689"/>
      <c r="F93" s="181"/>
      <c r="G93" s="181"/>
      <c r="H93" s="181"/>
      <c r="I93" s="181"/>
      <c r="J93" s="181"/>
      <c r="K93" s="181"/>
      <c r="L93" s="181"/>
    </row>
    <row r="94" spans="1:12" ht="12.75">
      <c r="A94" s="688"/>
      <c r="B94" s="689"/>
      <c r="F94" s="181"/>
      <c r="G94" s="181"/>
      <c r="H94" s="181"/>
      <c r="I94" s="181"/>
      <c r="J94" s="181"/>
      <c r="K94" s="181"/>
      <c r="L94" s="181"/>
    </row>
    <row r="95" spans="1:12" ht="12.75">
      <c r="A95" s="690"/>
      <c r="B95" s="689"/>
      <c r="F95" s="181"/>
      <c r="G95" s="181"/>
      <c r="H95" s="181"/>
      <c r="I95" s="181"/>
      <c r="J95" s="181"/>
      <c r="K95" s="181"/>
      <c r="L95" s="181"/>
    </row>
    <row r="96" spans="1:12" ht="12.75">
      <c r="A96" s="690"/>
      <c r="B96" s="689"/>
      <c r="F96" s="181"/>
      <c r="G96" s="181"/>
      <c r="H96" s="181"/>
      <c r="I96" s="181"/>
      <c r="J96" s="181"/>
      <c r="K96" s="181"/>
      <c r="L96" s="181"/>
    </row>
    <row r="97" spans="1:12" ht="12.75">
      <c r="A97" s="690"/>
      <c r="B97" s="689"/>
      <c r="F97" s="181"/>
      <c r="G97" s="181"/>
      <c r="H97" s="181"/>
      <c r="I97" s="181"/>
      <c r="J97" s="181"/>
      <c r="K97" s="181"/>
      <c r="L97" s="181"/>
    </row>
    <row r="98" spans="1:12" ht="12.75">
      <c r="A98" s="690"/>
      <c r="B98" s="689"/>
      <c r="F98" s="181"/>
      <c r="G98" s="181"/>
      <c r="H98" s="181"/>
      <c r="I98" s="181"/>
      <c r="J98" s="181"/>
      <c r="K98" s="181"/>
      <c r="L98" s="181"/>
    </row>
    <row r="99" spans="1:12" ht="12.75">
      <c r="A99" s="690"/>
      <c r="B99" s="689"/>
      <c r="F99" s="181"/>
      <c r="G99" s="181"/>
      <c r="H99" s="181"/>
      <c r="I99" s="181"/>
      <c r="J99" s="181"/>
      <c r="K99" s="181"/>
      <c r="L99" s="181"/>
    </row>
    <row r="100" spans="1:12" ht="12.75">
      <c r="A100" s="690"/>
      <c r="B100" s="689"/>
      <c r="F100" s="181"/>
      <c r="G100" s="181"/>
      <c r="H100" s="181"/>
      <c r="I100" s="181"/>
      <c r="J100" s="181"/>
      <c r="K100" s="181"/>
      <c r="L100" s="181"/>
    </row>
    <row r="101" spans="1:12" ht="12.75">
      <c r="A101" s="690"/>
      <c r="B101" s="689"/>
      <c r="F101" s="181"/>
      <c r="G101" s="181"/>
      <c r="H101" s="181"/>
      <c r="I101" s="181"/>
      <c r="J101" s="181"/>
      <c r="K101" s="181"/>
      <c r="L101" s="181"/>
    </row>
    <row r="102" spans="1:12" ht="12.75">
      <c r="A102" s="690"/>
      <c r="B102" s="689"/>
      <c r="F102" s="181"/>
      <c r="G102" s="181"/>
      <c r="H102" s="181"/>
      <c r="I102" s="181"/>
      <c r="J102" s="181"/>
      <c r="K102" s="181"/>
      <c r="L102" s="181"/>
    </row>
    <row r="103" spans="1:12" ht="12.75">
      <c r="A103" s="690"/>
      <c r="B103" s="689"/>
      <c r="F103" s="181"/>
      <c r="G103" s="181"/>
      <c r="H103" s="181"/>
      <c r="I103" s="181"/>
      <c r="J103" s="181"/>
      <c r="K103" s="181"/>
      <c r="L103" s="181"/>
    </row>
    <row r="104" spans="1:12" ht="12.75">
      <c r="A104" s="690"/>
      <c r="B104" s="689"/>
      <c r="F104" s="181"/>
      <c r="G104" s="181"/>
      <c r="H104" s="181"/>
      <c r="I104" s="181"/>
      <c r="J104" s="181"/>
      <c r="K104" s="181"/>
      <c r="L104" s="181"/>
    </row>
    <row r="105" spans="1:12" ht="12.75">
      <c r="A105" s="690"/>
      <c r="B105" s="689"/>
      <c r="F105" s="181"/>
      <c r="G105" s="181"/>
      <c r="H105" s="181"/>
      <c r="I105" s="181"/>
      <c r="J105" s="181"/>
      <c r="K105" s="181"/>
      <c r="L105" s="181"/>
    </row>
    <row r="106" spans="1:12" ht="12.75">
      <c r="A106" s="690"/>
      <c r="B106" s="689"/>
      <c r="F106" s="181"/>
      <c r="G106" s="181"/>
      <c r="H106" s="181"/>
      <c r="I106" s="181"/>
      <c r="J106" s="181"/>
      <c r="K106" s="181"/>
      <c r="L106" s="181"/>
    </row>
    <row r="107" spans="1:12" ht="12.75">
      <c r="A107" s="690"/>
      <c r="B107" s="689"/>
      <c r="F107" s="181"/>
      <c r="G107" s="181"/>
      <c r="H107" s="181"/>
      <c r="I107" s="181"/>
      <c r="J107" s="181"/>
      <c r="K107" s="181"/>
      <c r="L107" s="181"/>
    </row>
    <row r="108" spans="1:12" ht="12.75">
      <c r="A108" s="690"/>
      <c r="B108" s="689"/>
      <c r="F108" s="181"/>
      <c r="G108" s="181"/>
      <c r="H108" s="181"/>
      <c r="I108" s="181"/>
      <c r="J108" s="181"/>
      <c r="K108" s="181"/>
      <c r="L108" s="181"/>
    </row>
    <row r="109" spans="1:12" ht="12.75">
      <c r="A109" s="690"/>
      <c r="B109" s="689"/>
      <c r="F109" s="181"/>
      <c r="G109" s="181"/>
      <c r="H109" s="181"/>
      <c r="I109" s="181"/>
      <c r="J109" s="181"/>
      <c r="K109" s="181"/>
      <c r="L109" s="181"/>
    </row>
    <row r="110" spans="1:12" ht="12.75">
      <c r="A110" s="690"/>
      <c r="B110" s="689"/>
      <c r="F110" s="181"/>
      <c r="G110" s="181"/>
      <c r="H110" s="181"/>
      <c r="I110" s="181"/>
      <c r="J110" s="181"/>
      <c r="K110" s="181"/>
      <c r="L110" s="181"/>
    </row>
    <row r="111" spans="1:12" ht="12.75">
      <c r="A111" s="690"/>
    </row>
    <row r="112" spans="1:12" ht="12.75">
      <c r="A112" s="690"/>
    </row>
    <row r="113" spans="1:13" ht="12.75">
      <c r="A113" s="690"/>
    </row>
    <row r="114" spans="1:13" ht="12.75">
      <c r="A114" s="690"/>
    </row>
    <row r="115" spans="1:13" ht="12.75">
      <c r="A115" s="690"/>
    </row>
    <row r="116" spans="1:13" s="691" customFormat="1" ht="12.75">
      <c r="A116" s="690"/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</row>
    <row r="117" spans="1:13" s="691" customFormat="1" ht="12.75">
      <c r="A117" s="690"/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</row>
    <row r="118" spans="1:13" s="691" customFormat="1" ht="12.75">
      <c r="A118" s="690"/>
      <c r="C118" s="160"/>
      <c r="D118" s="160"/>
      <c r="E118" s="160"/>
      <c r="F118" s="160"/>
      <c r="G118" s="160"/>
      <c r="H118" s="160"/>
      <c r="I118" s="160"/>
      <c r="J118" s="160"/>
      <c r="K118" s="160"/>
      <c r="L118" s="160"/>
      <c r="M118" s="160"/>
    </row>
    <row r="119" spans="1:13" s="691" customFormat="1" ht="12.75">
      <c r="A119" s="690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</row>
    <row r="120" spans="1:13" s="691" customFormat="1" ht="12.75">
      <c r="A120" s="690"/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</row>
    <row r="121" spans="1:13" s="691" customFormat="1" ht="12.75">
      <c r="A121" s="690"/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</row>
    <row r="122" spans="1:13" s="691" customFormat="1" ht="12.75">
      <c r="A122" s="690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</row>
    <row r="123" spans="1:13" s="691" customFormat="1" ht="12.75">
      <c r="A123" s="690"/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</row>
    <row r="124" spans="1:13" s="691" customFormat="1" ht="12.75">
      <c r="A124" s="690"/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</row>
    <row r="125" spans="1:13" s="691" customFormat="1" ht="12.75">
      <c r="A125" s="690"/>
      <c r="C125" s="160"/>
      <c r="D125" s="160"/>
      <c r="E125" s="160"/>
      <c r="F125" s="160"/>
      <c r="G125" s="160"/>
      <c r="H125" s="160"/>
      <c r="I125" s="160"/>
      <c r="J125" s="160"/>
      <c r="K125" s="160"/>
      <c r="L125" s="160"/>
      <c r="M125" s="160"/>
    </row>
    <row r="126" spans="1:13" s="691" customFormat="1" ht="12.75">
      <c r="A126" s="690"/>
      <c r="C126" s="160"/>
      <c r="D126" s="160"/>
      <c r="E126" s="160"/>
      <c r="F126" s="160"/>
      <c r="G126" s="160"/>
      <c r="H126" s="160"/>
      <c r="I126" s="160"/>
      <c r="J126" s="160"/>
      <c r="K126" s="160"/>
      <c r="L126" s="160"/>
      <c r="M126" s="160"/>
    </row>
    <row r="127" spans="1:13" s="691" customFormat="1" ht="12.75">
      <c r="A127" s="690"/>
      <c r="C127" s="160"/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</row>
    <row r="128" spans="1:13" s="691" customFormat="1" ht="12.75">
      <c r="A128" s="690"/>
      <c r="C128" s="160"/>
      <c r="D128" s="160"/>
      <c r="E128" s="160"/>
      <c r="F128" s="160"/>
      <c r="G128" s="160"/>
      <c r="H128" s="160"/>
      <c r="I128" s="160"/>
      <c r="J128" s="160"/>
      <c r="K128" s="160"/>
      <c r="L128" s="160"/>
      <c r="M128" s="160"/>
    </row>
    <row r="129" spans="1:13" s="691" customFormat="1" ht="12.75">
      <c r="A129" s="690"/>
      <c r="C129" s="160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</row>
    <row r="130" spans="1:13" s="691" customFormat="1" ht="12.75">
      <c r="A130" s="690"/>
      <c r="C130" s="160"/>
      <c r="D130" s="160"/>
      <c r="E130" s="160"/>
      <c r="F130" s="160"/>
      <c r="G130" s="160"/>
      <c r="H130" s="160"/>
      <c r="I130" s="160"/>
      <c r="J130" s="160"/>
      <c r="K130" s="160"/>
      <c r="L130" s="160"/>
      <c r="M130" s="160"/>
    </row>
    <row r="131" spans="1:13" s="691" customFormat="1" ht="12.75">
      <c r="A131" s="690"/>
      <c r="C131" s="160"/>
      <c r="D131" s="160"/>
      <c r="E131" s="160"/>
      <c r="F131" s="160"/>
      <c r="G131" s="160"/>
      <c r="H131" s="160"/>
      <c r="I131" s="160"/>
      <c r="J131" s="160"/>
      <c r="K131" s="160"/>
      <c r="L131" s="160"/>
      <c r="M131" s="160"/>
    </row>
    <row r="132" spans="1:13" s="691" customFormat="1" ht="12.75">
      <c r="A132" s="690"/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</row>
    <row r="133" spans="1:13" s="691" customFormat="1" ht="12.75">
      <c r="A133" s="690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</row>
    <row r="134" spans="1:13" s="691" customFormat="1" ht="12.75">
      <c r="A134" s="690"/>
      <c r="C134" s="160" t="s">
        <v>302</v>
      </c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</row>
    <row r="135" spans="1:13" s="691" customFormat="1" ht="12.75">
      <c r="A135" s="690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</row>
    <row r="136" spans="1:13" s="691" customFormat="1" ht="12.75">
      <c r="A136" s="690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</row>
    <row r="137" spans="1:13" s="691" customFormat="1" ht="12.75">
      <c r="A137" s="690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</row>
    <row r="138" spans="1:13" s="691" customFormat="1" ht="12.75">
      <c r="A138" s="690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</row>
    <row r="139" spans="1:13" s="691" customFormat="1" ht="12.75">
      <c r="A139" s="690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</row>
    <row r="140" spans="1:13" s="691" customFormat="1" ht="12.75">
      <c r="A140" s="690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</row>
    <row r="141" spans="1:13" s="691" customFormat="1" ht="12.75">
      <c r="A141" s="690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</row>
    <row r="142" spans="1:13" s="691" customFormat="1" ht="12.75">
      <c r="A142" s="690"/>
      <c r="C142" s="160"/>
      <c r="D142" s="160"/>
      <c r="E142" s="160"/>
      <c r="F142" s="160"/>
      <c r="G142" s="160"/>
      <c r="H142" s="160"/>
      <c r="I142" s="160"/>
      <c r="J142" s="160"/>
      <c r="K142" s="160"/>
      <c r="L142" s="160"/>
      <c r="M142" s="160"/>
    </row>
    <row r="143" spans="1:13" s="691" customFormat="1" ht="12.75">
      <c r="A143" s="690"/>
      <c r="C143" s="160"/>
      <c r="D143" s="160"/>
      <c r="E143" s="160"/>
      <c r="F143" s="160"/>
      <c r="G143" s="160"/>
      <c r="H143" s="160"/>
      <c r="I143" s="160"/>
      <c r="J143" s="160"/>
      <c r="K143" s="160"/>
      <c r="L143" s="160"/>
      <c r="M143" s="160"/>
    </row>
    <row r="144" spans="1:13" s="691" customFormat="1" ht="12.75">
      <c r="A144" s="690"/>
      <c r="C144" s="160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</row>
    <row r="145" spans="1:13" s="691" customFormat="1" ht="12.75">
      <c r="A145" s="690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</row>
    <row r="146" spans="1:13" s="691" customFormat="1" ht="12.75">
      <c r="A146" s="690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</row>
    <row r="147" spans="1:13" s="691" customFormat="1" ht="12.75">
      <c r="A147" s="690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</row>
    <row r="148" spans="1:13" s="691" customFormat="1" ht="12.75">
      <c r="A148" s="690"/>
      <c r="C148" s="160"/>
      <c r="D148" s="160"/>
      <c r="E148" s="160"/>
      <c r="F148" s="160"/>
      <c r="G148" s="160"/>
      <c r="H148" s="160"/>
      <c r="I148" s="160"/>
      <c r="J148" s="160"/>
      <c r="K148" s="160"/>
      <c r="L148" s="160"/>
      <c r="M148" s="160"/>
    </row>
    <row r="149" spans="1:13" s="691" customFormat="1" ht="12.75">
      <c r="A149" s="690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</row>
    <row r="150" spans="1:13" s="691" customFormat="1" ht="12.75">
      <c r="A150" s="690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</row>
    <row r="151" spans="1:13" s="691" customFormat="1" ht="12.75">
      <c r="A151" s="690"/>
      <c r="C151" s="160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</row>
    <row r="152" spans="1:13" s="691" customFormat="1" ht="12.75">
      <c r="A152" s="690"/>
      <c r="C152" s="160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</row>
    <row r="153" spans="1:13" s="691" customFormat="1" ht="12.75">
      <c r="A153" s="690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</row>
    <row r="219" spans="5:5">
      <c r="E219" s="756">
        <f>115000000+12000000</f>
        <v>127000000</v>
      </c>
    </row>
    <row r="327" spans="5:5">
      <c r="E327" s="756"/>
    </row>
  </sheetData>
  <mergeCells count="52">
    <mergeCell ref="A87:L87"/>
    <mergeCell ref="A56:A60"/>
    <mergeCell ref="B56:C56"/>
    <mergeCell ref="B57:B60"/>
    <mergeCell ref="C57:C60"/>
    <mergeCell ref="A61:A80"/>
    <mergeCell ref="B61:C61"/>
    <mergeCell ref="B62:B80"/>
    <mergeCell ref="C62:C80"/>
    <mergeCell ref="A51:A55"/>
    <mergeCell ref="B51:C51"/>
    <mergeCell ref="B53:B55"/>
    <mergeCell ref="C53:C55"/>
    <mergeCell ref="A81:C81"/>
    <mergeCell ref="A28:A50"/>
    <mergeCell ref="B28:C28"/>
    <mergeCell ref="B29:B32"/>
    <mergeCell ref="C29:C32"/>
    <mergeCell ref="B33:B38"/>
    <mergeCell ref="C33:C38"/>
    <mergeCell ref="B39:B50"/>
    <mergeCell ref="C39:C50"/>
    <mergeCell ref="A18:A22"/>
    <mergeCell ref="B18:C18"/>
    <mergeCell ref="B19:B22"/>
    <mergeCell ref="C19:C22"/>
    <mergeCell ref="A23:A27"/>
    <mergeCell ref="B23:C23"/>
    <mergeCell ref="B24:B27"/>
    <mergeCell ref="C24:C27"/>
    <mergeCell ref="A6:A10"/>
    <mergeCell ref="B6:C6"/>
    <mergeCell ref="B7:B10"/>
    <mergeCell ref="C7:C10"/>
    <mergeCell ref="A11:A17"/>
    <mergeCell ref="B11:C11"/>
    <mergeCell ref="B13:B17"/>
    <mergeCell ref="C13:C17"/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  <mergeCell ref="G4:G5"/>
    <mergeCell ref="H4:I4"/>
    <mergeCell ref="J4:J5"/>
    <mergeCell ref="K4:K5"/>
  </mergeCells>
  <printOptions horizontalCentered="1"/>
  <pageMargins left="0.51181102362204722" right="0.51181102362204722" top="0.74803149606299213" bottom="0.35433070866141736" header="0.31496062992125984" footer="0.31496062992125984"/>
  <pageSetup paperSize="9" scale="65" orientation="portrait" r:id="rId1"/>
  <headerFooter>
    <oddFooter>Strona &amp;P z &amp;N</oddFooter>
  </headerFooter>
  <rowBreaks count="1" manualBreakCount="1">
    <brk id="55" max="11" man="1"/>
  </rowBreaks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G289"/>
  <sheetViews>
    <sheetView view="pageBreakPreview" zoomScaleNormal="75" zoomScaleSheetLayoutView="100" workbookViewId="0">
      <selection activeCell="I2" sqref="I2"/>
    </sheetView>
  </sheetViews>
  <sheetFormatPr defaultRowHeight="15.75"/>
  <cols>
    <col min="1" max="1" width="8.140625" style="692" customWidth="1"/>
    <col min="2" max="2" width="10.42578125" style="692" customWidth="1"/>
    <col min="3" max="3" width="9.42578125" style="691" customWidth="1"/>
    <col min="4" max="4" width="36.5703125" style="160" customWidth="1"/>
    <col min="5" max="5" width="12.140625" style="160" bestFit="1" customWidth="1"/>
    <col min="6" max="6" width="15.7109375" style="160" customWidth="1"/>
    <col min="7" max="7" width="16.5703125" style="160" customWidth="1"/>
    <col min="8" max="16384" width="9.140625" style="160"/>
  </cols>
  <sheetData>
    <row r="1" spans="1:7" ht="57" customHeight="1">
      <c r="A1" s="48"/>
      <c r="B1" s="48"/>
      <c r="C1" s="693"/>
      <c r="D1" s="694"/>
      <c r="E1" s="3512" t="s">
        <v>1288</v>
      </c>
      <c r="F1" s="3512"/>
      <c r="G1" s="3512"/>
    </row>
    <row r="2" spans="1:7" ht="84.75" customHeight="1" thickBot="1">
      <c r="A2" s="3303" t="s">
        <v>948</v>
      </c>
      <c r="B2" s="3303"/>
      <c r="C2" s="3303"/>
      <c r="D2" s="3303"/>
      <c r="E2" s="3303"/>
      <c r="F2" s="3303"/>
      <c r="G2" s="3303"/>
    </row>
    <row r="3" spans="1:7" ht="35.25" customHeight="1">
      <c r="A3" s="3513" t="s">
        <v>0</v>
      </c>
      <c r="B3" s="3515" t="s">
        <v>1</v>
      </c>
      <c r="C3" s="3515" t="s">
        <v>5</v>
      </c>
      <c r="D3" s="3517" t="s">
        <v>64</v>
      </c>
      <c r="E3" s="3519" t="s">
        <v>949</v>
      </c>
      <c r="F3" s="3520" t="s">
        <v>950</v>
      </c>
      <c r="G3" s="3521"/>
    </row>
    <row r="4" spans="1:7" ht="28.5" customHeight="1" thickBot="1">
      <c r="A4" s="3514"/>
      <c r="B4" s="3516"/>
      <c r="C4" s="3516"/>
      <c r="D4" s="3518"/>
      <c r="E4" s="3516"/>
      <c r="F4" s="804" t="s">
        <v>951</v>
      </c>
      <c r="G4" s="805" t="s">
        <v>952</v>
      </c>
    </row>
    <row r="5" spans="1:7" ht="31.5" customHeight="1" thickBot="1">
      <c r="A5" s="3522" t="s">
        <v>247</v>
      </c>
      <c r="B5" s="3525" t="s">
        <v>248</v>
      </c>
      <c r="C5" s="3526"/>
      <c r="D5" s="3527"/>
      <c r="E5" s="695">
        <f>SUM(E6)</f>
        <v>30527</v>
      </c>
      <c r="F5" s="696">
        <f>SUM(F6)</f>
        <v>29000</v>
      </c>
      <c r="G5" s="697">
        <f>SUM(G6)</f>
        <v>1527</v>
      </c>
    </row>
    <row r="6" spans="1:7" ht="29.25" customHeight="1">
      <c r="A6" s="3523"/>
      <c r="B6" s="3528" t="s">
        <v>249</v>
      </c>
      <c r="C6" s="3531" t="s">
        <v>239</v>
      </c>
      <c r="D6" s="3532"/>
      <c r="E6" s="698">
        <f>SUM(E7:E8)</f>
        <v>30527</v>
      </c>
      <c r="F6" s="699">
        <f>SUM(F7:F8)</f>
        <v>29000</v>
      </c>
      <c r="G6" s="700">
        <f>SUM(G7:G8)</f>
        <v>1527</v>
      </c>
    </row>
    <row r="7" spans="1:7" ht="27.75" customHeight="1">
      <c r="A7" s="3523"/>
      <c r="B7" s="3529"/>
      <c r="C7" s="806">
        <v>2350</v>
      </c>
      <c r="D7" s="807"/>
      <c r="E7" s="808">
        <f>F7+G7</f>
        <v>29000</v>
      </c>
      <c r="F7" s="809">
        <v>29000</v>
      </c>
      <c r="G7" s="810"/>
    </row>
    <row r="8" spans="1:7" ht="27.75" customHeight="1" thickBot="1">
      <c r="A8" s="3524"/>
      <c r="B8" s="3530"/>
      <c r="C8" s="811">
        <v>2360</v>
      </c>
      <c r="D8" s="812"/>
      <c r="E8" s="813">
        <f>F8+G8</f>
        <v>1527</v>
      </c>
      <c r="F8" s="814"/>
      <c r="G8" s="815">
        <v>1527</v>
      </c>
    </row>
    <row r="9" spans="1:7" ht="31.5" customHeight="1" thickBot="1">
      <c r="A9" s="3522" t="s">
        <v>7</v>
      </c>
      <c r="B9" s="3525" t="s">
        <v>134</v>
      </c>
      <c r="C9" s="3526"/>
      <c r="D9" s="3527"/>
      <c r="E9" s="695">
        <f>SUM(E10)</f>
        <v>168421</v>
      </c>
      <c r="F9" s="696">
        <f>SUM(F10)</f>
        <v>160000</v>
      </c>
      <c r="G9" s="697">
        <f>SUM(G10)</f>
        <v>8421</v>
      </c>
    </row>
    <row r="10" spans="1:7" ht="29.25" customHeight="1">
      <c r="A10" s="3523"/>
      <c r="B10" s="3528" t="s">
        <v>645</v>
      </c>
      <c r="C10" s="3531" t="s">
        <v>239</v>
      </c>
      <c r="D10" s="3532"/>
      <c r="E10" s="698">
        <f>SUM(E11:E12)</f>
        <v>168421</v>
      </c>
      <c r="F10" s="699">
        <f>SUM(F11:F12)</f>
        <v>160000</v>
      </c>
      <c r="G10" s="700">
        <f>SUM(G11:G12)</f>
        <v>8421</v>
      </c>
    </row>
    <row r="11" spans="1:7" ht="27.75" customHeight="1">
      <c r="A11" s="3523"/>
      <c r="B11" s="3529"/>
      <c r="C11" s="806">
        <v>2350</v>
      </c>
      <c r="D11" s="807"/>
      <c r="E11" s="813">
        <f>F11+G11</f>
        <v>160000</v>
      </c>
      <c r="F11" s="809">
        <v>160000</v>
      </c>
      <c r="G11" s="816"/>
    </row>
    <row r="12" spans="1:7" ht="27.75" customHeight="1" thickBot="1">
      <c r="A12" s="3524"/>
      <c r="B12" s="3530"/>
      <c r="C12" s="811">
        <v>2360</v>
      </c>
      <c r="D12" s="812"/>
      <c r="E12" s="813">
        <f>F12+G12</f>
        <v>8421</v>
      </c>
      <c r="F12" s="814"/>
      <c r="G12" s="815">
        <v>8421</v>
      </c>
    </row>
    <row r="13" spans="1:7" ht="33.75" customHeight="1" thickBot="1">
      <c r="A13" s="3522" t="s">
        <v>659</v>
      </c>
      <c r="B13" s="3525" t="s">
        <v>953</v>
      </c>
      <c r="C13" s="3526"/>
      <c r="D13" s="3527"/>
      <c r="E13" s="695">
        <f>SUM(E14)</f>
        <v>8421</v>
      </c>
      <c r="F13" s="696">
        <f>SUM(F14)</f>
        <v>8000</v>
      </c>
      <c r="G13" s="697">
        <f>SUM(G14)</f>
        <v>421</v>
      </c>
    </row>
    <row r="14" spans="1:7" ht="27.75" customHeight="1">
      <c r="A14" s="3523"/>
      <c r="B14" s="3528" t="s">
        <v>954</v>
      </c>
      <c r="C14" s="3531" t="s">
        <v>299</v>
      </c>
      <c r="D14" s="3532"/>
      <c r="E14" s="698">
        <f>SUM(E15:E16)</f>
        <v>8421</v>
      </c>
      <c r="F14" s="699">
        <f>SUM(F15:F16)</f>
        <v>8000</v>
      </c>
      <c r="G14" s="700">
        <f>SUM(G15:G16)</f>
        <v>421</v>
      </c>
    </row>
    <row r="15" spans="1:7" ht="29.25" customHeight="1">
      <c r="A15" s="3523"/>
      <c r="B15" s="3529"/>
      <c r="C15" s="806">
        <v>2350</v>
      </c>
      <c r="D15" s="807"/>
      <c r="E15" s="813">
        <f>F15+G15</f>
        <v>8000</v>
      </c>
      <c r="F15" s="809">
        <v>8000</v>
      </c>
      <c r="G15" s="816"/>
    </row>
    <row r="16" spans="1:7" ht="29.25" customHeight="1" thickBot="1">
      <c r="A16" s="3524"/>
      <c r="B16" s="3530"/>
      <c r="C16" s="817">
        <v>2360</v>
      </c>
      <c r="D16" s="818"/>
      <c r="E16" s="813">
        <f>F16+G16</f>
        <v>421</v>
      </c>
      <c r="F16" s="814"/>
      <c r="G16" s="815">
        <v>421</v>
      </c>
    </row>
    <row r="17" spans="1:7" ht="33.75" customHeight="1" thickBot="1">
      <c r="A17" s="3522" t="s">
        <v>4</v>
      </c>
      <c r="B17" s="3525" t="s">
        <v>18</v>
      </c>
      <c r="C17" s="3526"/>
      <c r="D17" s="3527"/>
      <c r="E17" s="695">
        <f>SUM(E18+E21)</f>
        <v>26316</v>
      </c>
      <c r="F17" s="696">
        <f>SUM(F18+F21)</f>
        <v>25000</v>
      </c>
      <c r="G17" s="697">
        <f>SUM(G18+G21)</f>
        <v>1316</v>
      </c>
    </row>
    <row r="18" spans="1:7" ht="27" customHeight="1">
      <c r="A18" s="3523"/>
      <c r="B18" s="3528" t="s">
        <v>679</v>
      </c>
      <c r="C18" s="3531" t="s">
        <v>313</v>
      </c>
      <c r="D18" s="3532"/>
      <c r="E18" s="698">
        <f>SUM(E19:E20)</f>
        <v>5263</v>
      </c>
      <c r="F18" s="699">
        <f>SUM(F19:F20)</f>
        <v>5000</v>
      </c>
      <c r="G18" s="700">
        <f>SUM(G19:G20)</f>
        <v>263</v>
      </c>
    </row>
    <row r="19" spans="1:7" ht="29.25" customHeight="1">
      <c r="A19" s="3523"/>
      <c r="B19" s="3529"/>
      <c r="C19" s="806">
        <v>2350</v>
      </c>
      <c r="D19" s="807"/>
      <c r="E19" s="813">
        <f>F19+G19</f>
        <v>5000</v>
      </c>
      <c r="F19" s="809">
        <v>5000</v>
      </c>
      <c r="G19" s="816"/>
    </row>
    <row r="20" spans="1:7" ht="29.25" customHeight="1" thickBot="1">
      <c r="A20" s="3523"/>
      <c r="B20" s="3530"/>
      <c r="C20" s="817">
        <v>2360</v>
      </c>
      <c r="D20" s="818"/>
      <c r="E20" s="813">
        <f>F20+G20</f>
        <v>263</v>
      </c>
      <c r="F20" s="814"/>
      <c r="G20" s="815">
        <v>263</v>
      </c>
    </row>
    <row r="21" spans="1:7" ht="27" customHeight="1">
      <c r="A21" s="3523"/>
      <c r="B21" s="3528" t="s">
        <v>704</v>
      </c>
      <c r="C21" s="3531" t="s">
        <v>318</v>
      </c>
      <c r="D21" s="3532"/>
      <c r="E21" s="701">
        <f>SUM(E22:E23)</f>
        <v>21053</v>
      </c>
      <c r="F21" s="699">
        <f>SUM(F22:F23)</f>
        <v>20000</v>
      </c>
      <c r="G21" s="700">
        <f>SUM(G22:G23)</f>
        <v>1053</v>
      </c>
    </row>
    <row r="22" spans="1:7" ht="29.25" customHeight="1">
      <c r="A22" s="3523"/>
      <c r="B22" s="3529"/>
      <c r="C22" s="806">
        <v>2350</v>
      </c>
      <c r="D22" s="807"/>
      <c r="E22" s="813">
        <f>F22+G22</f>
        <v>20000</v>
      </c>
      <c r="F22" s="809">
        <v>20000</v>
      </c>
      <c r="G22" s="816"/>
    </row>
    <row r="23" spans="1:7" ht="29.25" customHeight="1" thickBot="1">
      <c r="A23" s="3524"/>
      <c r="B23" s="3530"/>
      <c r="C23" s="817">
        <v>2360</v>
      </c>
      <c r="D23" s="818"/>
      <c r="E23" s="813">
        <f>F23+G23</f>
        <v>1053</v>
      </c>
      <c r="F23" s="814"/>
      <c r="G23" s="815">
        <v>1053</v>
      </c>
    </row>
    <row r="24" spans="1:7" ht="30" customHeight="1" thickBot="1">
      <c r="A24" s="3533" t="s">
        <v>22</v>
      </c>
      <c r="B24" s="3534"/>
      <c r="C24" s="3535"/>
      <c r="D24" s="3536"/>
      <c r="E24" s="702">
        <f>SUM(E17,E13,E9,E5)</f>
        <v>233685</v>
      </c>
      <c r="F24" s="703">
        <f>SUM(F17,F13,F9,F5)</f>
        <v>222000</v>
      </c>
      <c r="G24" s="704">
        <f>SUM(G17,G13,G9,G5)</f>
        <v>11685</v>
      </c>
    </row>
    <row r="25" spans="1:7">
      <c r="A25" s="705"/>
      <c r="B25" s="705"/>
      <c r="C25" s="706"/>
      <c r="D25" s="707"/>
      <c r="E25" s="708"/>
      <c r="F25" s="709"/>
      <c r="G25" s="707"/>
    </row>
    <row r="26" spans="1:7">
      <c r="A26" s="705"/>
      <c r="B26" s="705"/>
      <c r="C26" s="706"/>
      <c r="D26" s="707"/>
      <c r="E26" s="708"/>
      <c r="F26" s="709"/>
      <c r="G26" s="707"/>
    </row>
    <row r="27" spans="1:7">
      <c r="A27" s="710"/>
      <c r="B27" s="710"/>
      <c r="C27" s="689"/>
      <c r="F27" s="181"/>
    </row>
    <row r="28" spans="1:7">
      <c r="A28" s="710"/>
      <c r="B28" s="710"/>
      <c r="C28" s="689"/>
      <c r="F28" s="181"/>
    </row>
    <row r="29" spans="1:7">
      <c r="A29" s="710"/>
      <c r="B29" s="710"/>
      <c r="C29" s="689"/>
      <c r="F29" s="181"/>
    </row>
    <row r="30" spans="1:7">
      <c r="A30" s="3537"/>
      <c r="B30" s="3537"/>
      <c r="C30" s="3537"/>
      <c r="D30" s="3537"/>
      <c r="E30" s="3537"/>
      <c r="F30" s="3537"/>
    </row>
    <row r="31" spans="1:7">
      <c r="A31" s="710"/>
      <c r="B31" s="710"/>
      <c r="C31" s="689"/>
      <c r="F31" s="181"/>
    </row>
    <row r="32" spans="1:7">
      <c r="A32" s="710"/>
      <c r="B32" s="710"/>
      <c r="C32" s="689"/>
      <c r="F32" s="181"/>
    </row>
    <row r="33" spans="1:6">
      <c r="A33" s="710"/>
      <c r="B33" s="710"/>
      <c r="C33" s="689"/>
      <c r="F33" s="181"/>
    </row>
    <row r="34" spans="1:6">
      <c r="A34" s="710"/>
      <c r="B34" s="710"/>
      <c r="C34" s="689"/>
      <c r="F34" s="181"/>
    </row>
    <row r="35" spans="1:6">
      <c r="A35" s="710"/>
      <c r="B35" s="710"/>
      <c r="C35" s="689"/>
      <c r="F35" s="181"/>
    </row>
    <row r="36" spans="1:6">
      <c r="A36" s="710"/>
      <c r="B36" s="710"/>
      <c r="C36" s="689"/>
      <c r="F36" s="181"/>
    </row>
    <row r="37" spans="1:6">
      <c r="A37" s="710"/>
      <c r="B37" s="710"/>
      <c r="C37" s="689"/>
      <c r="F37" s="181"/>
    </row>
    <row r="38" spans="1:6">
      <c r="C38" s="689"/>
      <c r="F38" s="181"/>
    </row>
    <row r="39" spans="1:6">
      <c r="C39" s="689"/>
      <c r="F39" s="181"/>
    </row>
    <row r="40" spans="1:6">
      <c r="C40" s="689"/>
      <c r="F40" s="181"/>
    </row>
    <row r="41" spans="1:6">
      <c r="C41" s="689"/>
      <c r="F41" s="181"/>
    </row>
    <row r="42" spans="1:6">
      <c r="C42" s="689"/>
      <c r="F42" s="181"/>
    </row>
    <row r="43" spans="1:6">
      <c r="C43" s="689"/>
      <c r="F43" s="181"/>
    </row>
    <row r="44" spans="1:6">
      <c r="C44" s="689"/>
      <c r="F44" s="181"/>
    </row>
    <row r="45" spans="1:6">
      <c r="C45" s="689"/>
      <c r="F45" s="181"/>
    </row>
    <row r="46" spans="1:6">
      <c r="C46" s="689"/>
      <c r="F46" s="181"/>
    </row>
    <row r="47" spans="1:6">
      <c r="C47" s="689"/>
      <c r="F47" s="181"/>
    </row>
    <row r="48" spans="1:6">
      <c r="C48" s="689"/>
      <c r="F48" s="181"/>
    </row>
    <row r="49" spans="3:6">
      <c r="C49" s="689"/>
      <c r="F49" s="181"/>
    </row>
    <row r="50" spans="3:6">
      <c r="C50" s="689"/>
      <c r="F50" s="181"/>
    </row>
    <row r="51" spans="3:6">
      <c r="C51" s="689"/>
      <c r="F51" s="181"/>
    </row>
    <row r="52" spans="3:6">
      <c r="C52" s="689"/>
      <c r="F52" s="181"/>
    </row>
    <row r="53" spans="3:6">
      <c r="C53" s="689"/>
      <c r="F53" s="181"/>
    </row>
    <row r="140" spans="3:3">
      <c r="C140" s="691" t="s">
        <v>302</v>
      </c>
    </row>
    <row r="181" spans="4:4">
      <c r="D181" s="756">
        <f>115000000+12000000</f>
        <v>127000000</v>
      </c>
    </row>
    <row r="289" spans="4:4">
      <c r="D289" s="756"/>
    </row>
  </sheetData>
  <mergeCells count="28">
    <mergeCell ref="A24:D24"/>
    <mergeCell ref="A30:F30"/>
    <mergeCell ref="A13:A16"/>
    <mergeCell ref="B13:D13"/>
    <mergeCell ref="B14:B16"/>
    <mergeCell ref="C14:D14"/>
    <mergeCell ref="A17:A23"/>
    <mergeCell ref="B17:D17"/>
    <mergeCell ref="B18:B20"/>
    <mergeCell ref="C18:D18"/>
    <mergeCell ref="B21:B23"/>
    <mergeCell ref="C21:D21"/>
    <mergeCell ref="A5:A8"/>
    <mergeCell ref="B5:D5"/>
    <mergeCell ref="B6:B8"/>
    <mergeCell ref="C6:D6"/>
    <mergeCell ref="A9:A12"/>
    <mergeCell ref="B9:D9"/>
    <mergeCell ref="B10:B12"/>
    <mergeCell ref="C10:D10"/>
    <mergeCell ref="E1:G1"/>
    <mergeCell ref="A2:G2"/>
    <mergeCell ref="A3:A4"/>
    <mergeCell ref="B3:B4"/>
    <mergeCell ref="C3:C4"/>
    <mergeCell ref="D3:D4"/>
    <mergeCell ref="E3:E4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E26"/>
  <sheetViews>
    <sheetView view="pageBreakPreview" zoomScaleNormal="100" zoomScaleSheetLayoutView="100" workbookViewId="0">
      <selection activeCell="K2" sqref="K2"/>
    </sheetView>
  </sheetViews>
  <sheetFormatPr defaultRowHeight="12.75"/>
  <cols>
    <col min="1" max="1" width="5.85546875" style="56" customWidth="1"/>
    <col min="2" max="2" width="49.7109375" style="56" customWidth="1"/>
    <col min="3" max="4" width="14.5703125" style="56" customWidth="1"/>
    <col min="5" max="5" width="9" style="56" customWidth="1"/>
    <col min="6" max="256" width="9.140625" style="56"/>
    <col min="257" max="257" width="5.85546875" style="56" customWidth="1"/>
    <col min="258" max="258" width="45.42578125" style="56" customWidth="1"/>
    <col min="259" max="260" width="14.5703125" style="56" customWidth="1"/>
    <col min="261" max="261" width="9" style="56" customWidth="1"/>
    <col min="262" max="512" width="9.140625" style="56"/>
    <col min="513" max="513" width="5.85546875" style="56" customWidth="1"/>
    <col min="514" max="514" width="45.42578125" style="56" customWidth="1"/>
    <col min="515" max="516" width="14.5703125" style="56" customWidth="1"/>
    <col min="517" max="517" width="9" style="56" customWidth="1"/>
    <col min="518" max="768" width="9.140625" style="56"/>
    <col min="769" max="769" width="5.85546875" style="56" customWidth="1"/>
    <col min="770" max="770" width="45.42578125" style="56" customWidth="1"/>
    <col min="771" max="772" width="14.5703125" style="56" customWidth="1"/>
    <col min="773" max="773" width="9" style="56" customWidth="1"/>
    <col min="774" max="1024" width="9.140625" style="56"/>
    <col min="1025" max="1025" width="5.85546875" style="56" customWidth="1"/>
    <col min="1026" max="1026" width="45.42578125" style="56" customWidth="1"/>
    <col min="1027" max="1028" width="14.5703125" style="56" customWidth="1"/>
    <col min="1029" max="1029" width="9" style="56" customWidth="1"/>
    <col min="1030" max="1280" width="9.140625" style="56"/>
    <col min="1281" max="1281" width="5.85546875" style="56" customWidth="1"/>
    <col min="1282" max="1282" width="45.42578125" style="56" customWidth="1"/>
    <col min="1283" max="1284" width="14.5703125" style="56" customWidth="1"/>
    <col min="1285" max="1285" width="9" style="56" customWidth="1"/>
    <col min="1286" max="1536" width="9.140625" style="56"/>
    <col min="1537" max="1537" width="5.85546875" style="56" customWidth="1"/>
    <col min="1538" max="1538" width="45.42578125" style="56" customWidth="1"/>
    <col min="1539" max="1540" width="14.5703125" style="56" customWidth="1"/>
    <col min="1541" max="1541" width="9" style="56" customWidth="1"/>
    <col min="1542" max="1792" width="9.140625" style="56"/>
    <col min="1793" max="1793" width="5.85546875" style="56" customWidth="1"/>
    <col min="1794" max="1794" width="45.42578125" style="56" customWidth="1"/>
    <col min="1795" max="1796" width="14.5703125" style="56" customWidth="1"/>
    <col min="1797" max="1797" width="9" style="56" customWidth="1"/>
    <col min="1798" max="2048" width="9.140625" style="56"/>
    <col min="2049" max="2049" width="5.85546875" style="56" customWidth="1"/>
    <col min="2050" max="2050" width="45.42578125" style="56" customWidth="1"/>
    <col min="2051" max="2052" width="14.5703125" style="56" customWidth="1"/>
    <col min="2053" max="2053" width="9" style="56" customWidth="1"/>
    <col min="2054" max="2304" width="9.140625" style="56"/>
    <col min="2305" max="2305" width="5.85546875" style="56" customWidth="1"/>
    <col min="2306" max="2306" width="45.42578125" style="56" customWidth="1"/>
    <col min="2307" max="2308" width="14.5703125" style="56" customWidth="1"/>
    <col min="2309" max="2309" width="9" style="56" customWidth="1"/>
    <col min="2310" max="2560" width="9.140625" style="56"/>
    <col min="2561" max="2561" width="5.85546875" style="56" customWidth="1"/>
    <col min="2562" max="2562" width="45.42578125" style="56" customWidth="1"/>
    <col min="2563" max="2564" width="14.5703125" style="56" customWidth="1"/>
    <col min="2565" max="2565" width="9" style="56" customWidth="1"/>
    <col min="2566" max="2816" width="9.140625" style="56"/>
    <col min="2817" max="2817" width="5.85546875" style="56" customWidth="1"/>
    <col min="2818" max="2818" width="45.42578125" style="56" customWidth="1"/>
    <col min="2819" max="2820" width="14.5703125" style="56" customWidth="1"/>
    <col min="2821" max="2821" width="9" style="56" customWidth="1"/>
    <col min="2822" max="3072" width="9.140625" style="56"/>
    <col min="3073" max="3073" width="5.85546875" style="56" customWidth="1"/>
    <col min="3074" max="3074" width="45.42578125" style="56" customWidth="1"/>
    <col min="3075" max="3076" width="14.5703125" style="56" customWidth="1"/>
    <col min="3077" max="3077" width="9" style="56" customWidth="1"/>
    <col min="3078" max="3328" width="9.140625" style="56"/>
    <col min="3329" max="3329" width="5.85546875" style="56" customWidth="1"/>
    <col min="3330" max="3330" width="45.42578125" style="56" customWidth="1"/>
    <col min="3331" max="3332" width="14.5703125" style="56" customWidth="1"/>
    <col min="3333" max="3333" width="9" style="56" customWidth="1"/>
    <col min="3334" max="3584" width="9.140625" style="56"/>
    <col min="3585" max="3585" width="5.85546875" style="56" customWidth="1"/>
    <col min="3586" max="3586" width="45.42578125" style="56" customWidth="1"/>
    <col min="3587" max="3588" width="14.5703125" style="56" customWidth="1"/>
    <col min="3589" max="3589" width="9" style="56" customWidth="1"/>
    <col min="3590" max="3840" width="9.140625" style="56"/>
    <col min="3841" max="3841" width="5.85546875" style="56" customWidth="1"/>
    <col min="3842" max="3842" width="45.42578125" style="56" customWidth="1"/>
    <col min="3843" max="3844" width="14.5703125" style="56" customWidth="1"/>
    <col min="3845" max="3845" width="9" style="56" customWidth="1"/>
    <col min="3846" max="4096" width="9.140625" style="56"/>
    <col min="4097" max="4097" width="5.85546875" style="56" customWidth="1"/>
    <col min="4098" max="4098" width="45.42578125" style="56" customWidth="1"/>
    <col min="4099" max="4100" width="14.5703125" style="56" customWidth="1"/>
    <col min="4101" max="4101" width="9" style="56" customWidth="1"/>
    <col min="4102" max="4352" width="9.140625" style="56"/>
    <col min="4353" max="4353" width="5.85546875" style="56" customWidth="1"/>
    <col min="4354" max="4354" width="45.42578125" style="56" customWidth="1"/>
    <col min="4355" max="4356" width="14.5703125" style="56" customWidth="1"/>
    <col min="4357" max="4357" width="9" style="56" customWidth="1"/>
    <col min="4358" max="4608" width="9.140625" style="56"/>
    <col min="4609" max="4609" width="5.85546875" style="56" customWidth="1"/>
    <col min="4610" max="4610" width="45.42578125" style="56" customWidth="1"/>
    <col min="4611" max="4612" width="14.5703125" style="56" customWidth="1"/>
    <col min="4613" max="4613" width="9" style="56" customWidth="1"/>
    <col min="4614" max="4864" width="9.140625" style="56"/>
    <col min="4865" max="4865" width="5.85546875" style="56" customWidth="1"/>
    <col min="4866" max="4866" width="45.42578125" style="56" customWidth="1"/>
    <col min="4867" max="4868" width="14.5703125" style="56" customWidth="1"/>
    <col min="4869" max="4869" width="9" style="56" customWidth="1"/>
    <col min="4870" max="5120" width="9.140625" style="56"/>
    <col min="5121" max="5121" width="5.85546875" style="56" customWidth="1"/>
    <col min="5122" max="5122" width="45.42578125" style="56" customWidth="1"/>
    <col min="5123" max="5124" width="14.5703125" style="56" customWidth="1"/>
    <col min="5125" max="5125" width="9" style="56" customWidth="1"/>
    <col min="5126" max="5376" width="9.140625" style="56"/>
    <col min="5377" max="5377" width="5.85546875" style="56" customWidth="1"/>
    <col min="5378" max="5378" width="45.42578125" style="56" customWidth="1"/>
    <col min="5379" max="5380" width="14.5703125" style="56" customWidth="1"/>
    <col min="5381" max="5381" width="9" style="56" customWidth="1"/>
    <col min="5382" max="5632" width="9.140625" style="56"/>
    <col min="5633" max="5633" width="5.85546875" style="56" customWidth="1"/>
    <col min="5634" max="5634" width="45.42578125" style="56" customWidth="1"/>
    <col min="5635" max="5636" width="14.5703125" style="56" customWidth="1"/>
    <col min="5637" max="5637" width="9" style="56" customWidth="1"/>
    <col min="5638" max="5888" width="9.140625" style="56"/>
    <col min="5889" max="5889" width="5.85546875" style="56" customWidth="1"/>
    <col min="5890" max="5890" width="45.42578125" style="56" customWidth="1"/>
    <col min="5891" max="5892" width="14.5703125" style="56" customWidth="1"/>
    <col min="5893" max="5893" width="9" style="56" customWidth="1"/>
    <col min="5894" max="6144" width="9.140625" style="56"/>
    <col min="6145" max="6145" width="5.85546875" style="56" customWidth="1"/>
    <col min="6146" max="6146" width="45.42578125" style="56" customWidth="1"/>
    <col min="6147" max="6148" width="14.5703125" style="56" customWidth="1"/>
    <col min="6149" max="6149" width="9" style="56" customWidth="1"/>
    <col min="6150" max="6400" width="9.140625" style="56"/>
    <col min="6401" max="6401" width="5.85546875" style="56" customWidth="1"/>
    <col min="6402" max="6402" width="45.42578125" style="56" customWidth="1"/>
    <col min="6403" max="6404" width="14.5703125" style="56" customWidth="1"/>
    <col min="6405" max="6405" width="9" style="56" customWidth="1"/>
    <col min="6406" max="6656" width="9.140625" style="56"/>
    <col min="6657" max="6657" width="5.85546875" style="56" customWidth="1"/>
    <col min="6658" max="6658" width="45.42578125" style="56" customWidth="1"/>
    <col min="6659" max="6660" width="14.5703125" style="56" customWidth="1"/>
    <col min="6661" max="6661" width="9" style="56" customWidth="1"/>
    <col min="6662" max="6912" width="9.140625" style="56"/>
    <col min="6913" max="6913" width="5.85546875" style="56" customWidth="1"/>
    <col min="6914" max="6914" width="45.42578125" style="56" customWidth="1"/>
    <col min="6915" max="6916" width="14.5703125" style="56" customWidth="1"/>
    <col min="6917" max="6917" width="9" style="56" customWidth="1"/>
    <col min="6918" max="7168" width="9.140625" style="56"/>
    <col min="7169" max="7169" width="5.85546875" style="56" customWidth="1"/>
    <col min="7170" max="7170" width="45.42578125" style="56" customWidth="1"/>
    <col min="7171" max="7172" width="14.5703125" style="56" customWidth="1"/>
    <col min="7173" max="7173" width="9" style="56" customWidth="1"/>
    <col min="7174" max="7424" width="9.140625" style="56"/>
    <col min="7425" max="7425" width="5.85546875" style="56" customWidth="1"/>
    <col min="7426" max="7426" width="45.42578125" style="56" customWidth="1"/>
    <col min="7427" max="7428" width="14.5703125" style="56" customWidth="1"/>
    <col min="7429" max="7429" width="9" style="56" customWidth="1"/>
    <col min="7430" max="7680" width="9.140625" style="56"/>
    <col min="7681" max="7681" width="5.85546875" style="56" customWidth="1"/>
    <col min="7682" max="7682" width="45.42578125" style="56" customWidth="1"/>
    <col min="7683" max="7684" width="14.5703125" style="56" customWidth="1"/>
    <col min="7685" max="7685" width="9" style="56" customWidth="1"/>
    <col min="7686" max="7936" width="9.140625" style="56"/>
    <col min="7937" max="7937" width="5.85546875" style="56" customWidth="1"/>
    <col min="7938" max="7938" width="45.42578125" style="56" customWidth="1"/>
    <col min="7939" max="7940" width="14.5703125" style="56" customWidth="1"/>
    <col min="7941" max="7941" width="9" style="56" customWidth="1"/>
    <col min="7942" max="8192" width="9.140625" style="56"/>
    <col min="8193" max="8193" width="5.85546875" style="56" customWidth="1"/>
    <col min="8194" max="8194" width="45.42578125" style="56" customWidth="1"/>
    <col min="8195" max="8196" width="14.5703125" style="56" customWidth="1"/>
    <col min="8197" max="8197" width="9" style="56" customWidth="1"/>
    <col min="8198" max="8448" width="9.140625" style="56"/>
    <col min="8449" max="8449" width="5.85546875" style="56" customWidth="1"/>
    <col min="8450" max="8450" width="45.42578125" style="56" customWidth="1"/>
    <col min="8451" max="8452" width="14.5703125" style="56" customWidth="1"/>
    <col min="8453" max="8453" width="9" style="56" customWidth="1"/>
    <col min="8454" max="8704" width="9.140625" style="56"/>
    <col min="8705" max="8705" width="5.85546875" style="56" customWidth="1"/>
    <col min="8706" max="8706" width="45.42578125" style="56" customWidth="1"/>
    <col min="8707" max="8708" width="14.5703125" style="56" customWidth="1"/>
    <col min="8709" max="8709" width="9" style="56" customWidth="1"/>
    <col min="8710" max="8960" width="9.140625" style="56"/>
    <col min="8961" max="8961" width="5.85546875" style="56" customWidth="1"/>
    <col min="8962" max="8962" width="45.42578125" style="56" customWidth="1"/>
    <col min="8963" max="8964" width="14.5703125" style="56" customWidth="1"/>
    <col min="8965" max="8965" width="9" style="56" customWidth="1"/>
    <col min="8966" max="9216" width="9.140625" style="56"/>
    <col min="9217" max="9217" width="5.85546875" style="56" customWidth="1"/>
    <col min="9218" max="9218" width="45.42578125" style="56" customWidth="1"/>
    <col min="9219" max="9220" width="14.5703125" style="56" customWidth="1"/>
    <col min="9221" max="9221" width="9" style="56" customWidth="1"/>
    <col min="9222" max="9472" width="9.140625" style="56"/>
    <col min="9473" max="9473" width="5.85546875" style="56" customWidth="1"/>
    <col min="9474" max="9474" width="45.42578125" style="56" customWidth="1"/>
    <col min="9475" max="9476" width="14.5703125" style="56" customWidth="1"/>
    <col min="9477" max="9477" width="9" style="56" customWidth="1"/>
    <col min="9478" max="9728" width="9.140625" style="56"/>
    <col min="9729" max="9729" width="5.85546875" style="56" customWidth="1"/>
    <col min="9730" max="9730" width="45.42578125" style="56" customWidth="1"/>
    <col min="9731" max="9732" width="14.5703125" style="56" customWidth="1"/>
    <col min="9733" max="9733" width="9" style="56" customWidth="1"/>
    <col min="9734" max="9984" width="9.140625" style="56"/>
    <col min="9985" max="9985" width="5.85546875" style="56" customWidth="1"/>
    <col min="9986" max="9986" width="45.42578125" style="56" customWidth="1"/>
    <col min="9987" max="9988" width="14.5703125" style="56" customWidth="1"/>
    <col min="9989" max="9989" width="9" style="56" customWidth="1"/>
    <col min="9990" max="10240" width="9.140625" style="56"/>
    <col min="10241" max="10241" width="5.85546875" style="56" customWidth="1"/>
    <col min="10242" max="10242" width="45.42578125" style="56" customWidth="1"/>
    <col min="10243" max="10244" width="14.5703125" style="56" customWidth="1"/>
    <col min="10245" max="10245" width="9" style="56" customWidth="1"/>
    <col min="10246" max="10496" width="9.140625" style="56"/>
    <col min="10497" max="10497" width="5.85546875" style="56" customWidth="1"/>
    <col min="10498" max="10498" width="45.42578125" style="56" customWidth="1"/>
    <col min="10499" max="10500" width="14.5703125" style="56" customWidth="1"/>
    <col min="10501" max="10501" width="9" style="56" customWidth="1"/>
    <col min="10502" max="10752" width="9.140625" style="56"/>
    <col min="10753" max="10753" width="5.85546875" style="56" customWidth="1"/>
    <col min="10754" max="10754" width="45.42578125" style="56" customWidth="1"/>
    <col min="10755" max="10756" width="14.5703125" style="56" customWidth="1"/>
    <col min="10757" max="10757" width="9" style="56" customWidth="1"/>
    <col min="10758" max="11008" width="9.140625" style="56"/>
    <col min="11009" max="11009" width="5.85546875" style="56" customWidth="1"/>
    <col min="11010" max="11010" width="45.42578125" style="56" customWidth="1"/>
    <col min="11011" max="11012" width="14.5703125" style="56" customWidth="1"/>
    <col min="11013" max="11013" width="9" style="56" customWidth="1"/>
    <col min="11014" max="11264" width="9.140625" style="56"/>
    <col min="11265" max="11265" width="5.85546875" style="56" customWidth="1"/>
    <col min="11266" max="11266" width="45.42578125" style="56" customWidth="1"/>
    <col min="11267" max="11268" width="14.5703125" style="56" customWidth="1"/>
    <col min="11269" max="11269" width="9" style="56" customWidth="1"/>
    <col min="11270" max="11520" width="9.140625" style="56"/>
    <col min="11521" max="11521" width="5.85546875" style="56" customWidth="1"/>
    <col min="11522" max="11522" width="45.42578125" style="56" customWidth="1"/>
    <col min="11523" max="11524" width="14.5703125" style="56" customWidth="1"/>
    <col min="11525" max="11525" width="9" style="56" customWidth="1"/>
    <col min="11526" max="11776" width="9.140625" style="56"/>
    <col min="11777" max="11777" width="5.85546875" style="56" customWidth="1"/>
    <col min="11778" max="11778" width="45.42578125" style="56" customWidth="1"/>
    <col min="11779" max="11780" width="14.5703125" style="56" customWidth="1"/>
    <col min="11781" max="11781" width="9" style="56" customWidth="1"/>
    <col min="11782" max="12032" width="9.140625" style="56"/>
    <col min="12033" max="12033" width="5.85546875" style="56" customWidth="1"/>
    <col min="12034" max="12034" width="45.42578125" style="56" customWidth="1"/>
    <col min="12035" max="12036" width="14.5703125" style="56" customWidth="1"/>
    <col min="12037" max="12037" width="9" style="56" customWidth="1"/>
    <col min="12038" max="12288" width="9.140625" style="56"/>
    <col min="12289" max="12289" width="5.85546875" style="56" customWidth="1"/>
    <col min="12290" max="12290" width="45.42578125" style="56" customWidth="1"/>
    <col min="12291" max="12292" width="14.5703125" style="56" customWidth="1"/>
    <col min="12293" max="12293" width="9" style="56" customWidth="1"/>
    <col min="12294" max="12544" width="9.140625" style="56"/>
    <col min="12545" max="12545" width="5.85546875" style="56" customWidth="1"/>
    <col min="12546" max="12546" width="45.42578125" style="56" customWidth="1"/>
    <col min="12547" max="12548" width="14.5703125" style="56" customWidth="1"/>
    <col min="12549" max="12549" width="9" style="56" customWidth="1"/>
    <col min="12550" max="12800" width="9.140625" style="56"/>
    <col min="12801" max="12801" width="5.85546875" style="56" customWidth="1"/>
    <col min="12802" max="12802" width="45.42578125" style="56" customWidth="1"/>
    <col min="12803" max="12804" width="14.5703125" style="56" customWidth="1"/>
    <col min="12805" max="12805" width="9" style="56" customWidth="1"/>
    <col min="12806" max="13056" width="9.140625" style="56"/>
    <col min="13057" max="13057" width="5.85546875" style="56" customWidth="1"/>
    <col min="13058" max="13058" width="45.42578125" style="56" customWidth="1"/>
    <col min="13059" max="13060" width="14.5703125" style="56" customWidth="1"/>
    <col min="13061" max="13061" width="9" style="56" customWidth="1"/>
    <col min="13062" max="13312" width="9.140625" style="56"/>
    <col min="13313" max="13313" width="5.85546875" style="56" customWidth="1"/>
    <col min="13314" max="13314" width="45.42578125" style="56" customWidth="1"/>
    <col min="13315" max="13316" width="14.5703125" style="56" customWidth="1"/>
    <col min="13317" max="13317" width="9" style="56" customWidth="1"/>
    <col min="13318" max="13568" width="9.140625" style="56"/>
    <col min="13569" max="13569" width="5.85546875" style="56" customWidth="1"/>
    <col min="13570" max="13570" width="45.42578125" style="56" customWidth="1"/>
    <col min="13571" max="13572" width="14.5703125" style="56" customWidth="1"/>
    <col min="13573" max="13573" width="9" style="56" customWidth="1"/>
    <col min="13574" max="13824" width="9.140625" style="56"/>
    <col min="13825" max="13825" width="5.85546875" style="56" customWidth="1"/>
    <col min="13826" max="13826" width="45.42578125" style="56" customWidth="1"/>
    <col min="13827" max="13828" width="14.5703125" style="56" customWidth="1"/>
    <col min="13829" max="13829" width="9" style="56" customWidth="1"/>
    <col min="13830" max="14080" width="9.140625" style="56"/>
    <col min="14081" max="14081" width="5.85546875" style="56" customWidth="1"/>
    <col min="14082" max="14082" width="45.42578125" style="56" customWidth="1"/>
    <col min="14083" max="14084" width="14.5703125" style="56" customWidth="1"/>
    <col min="14085" max="14085" width="9" style="56" customWidth="1"/>
    <col min="14086" max="14336" width="9.140625" style="56"/>
    <col min="14337" max="14337" width="5.85546875" style="56" customWidth="1"/>
    <col min="14338" max="14338" width="45.42578125" style="56" customWidth="1"/>
    <col min="14339" max="14340" width="14.5703125" style="56" customWidth="1"/>
    <col min="14341" max="14341" width="9" style="56" customWidth="1"/>
    <col min="14342" max="14592" width="9.140625" style="56"/>
    <col min="14593" max="14593" width="5.85546875" style="56" customWidth="1"/>
    <col min="14594" max="14594" width="45.42578125" style="56" customWidth="1"/>
    <col min="14595" max="14596" width="14.5703125" style="56" customWidth="1"/>
    <col min="14597" max="14597" width="9" style="56" customWidth="1"/>
    <col min="14598" max="14848" width="9.140625" style="56"/>
    <col min="14849" max="14849" width="5.85546875" style="56" customWidth="1"/>
    <col min="14850" max="14850" width="45.42578125" style="56" customWidth="1"/>
    <col min="14851" max="14852" width="14.5703125" style="56" customWidth="1"/>
    <col min="14853" max="14853" width="9" style="56" customWidth="1"/>
    <col min="14854" max="15104" width="9.140625" style="56"/>
    <col min="15105" max="15105" width="5.85546875" style="56" customWidth="1"/>
    <col min="15106" max="15106" width="45.42578125" style="56" customWidth="1"/>
    <col min="15107" max="15108" width="14.5703125" style="56" customWidth="1"/>
    <col min="15109" max="15109" width="9" style="56" customWidth="1"/>
    <col min="15110" max="15360" width="9.140625" style="56"/>
    <col min="15361" max="15361" width="5.85546875" style="56" customWidth="1"/>
    <col min="15362" max="15362" width="45.42578125" style="56" customWidth="1"/>
    <col min="15363" max="15364" width="14.5703125" style="56" customWidth="1"/>
    <col min="15365" max="15365" width="9" style="56" customWidth="1"/>
    <col min="15366" max="15616" width="9.140625" style="56"/>
    <col min="15617" max="15617" width="5.85546875" style="56" customWidth="1"/>
    <col min="15618" max="15618" width="45.42578125" style="56" customWidth="1"/>
    <col min="15619" max="15620" width="14.5703125" style="56" customWidth="1"/>
    <col min="15621" max="15621" width="9" style="56" customWidth="1"/>
    <col min="15622" max="15872" width="9.140625" style="56"/>
    <col min="15873" max="15873" width="5.85546875" style="56" customWidth="1"/>
    <col min="15874" max="15874" width="45.42578125" style="56" customWidth="1"/>
    <col min="15875" max="15876" width="14.5703125" style="56" customWidth="1"/>
    <col min="15877" max="15877" width="9" style="56" customWidth="1"/>
    <col min="15878" max="16128" width="9.140625" style="56"/>
    <col min="16129" max="16129" width="5.85546875" style="56" customWidth="1"/>
    <col min="16130" max="16130" width="45.42578125" style="56" customWidth="1"/>
    <col min="16131" max="16132" width="14.5703125" style="56" customWidth="1"/>
    <col min="16133" max="16133" width="9" style="56" customWidth="1"/>
    <col min="16134" max="16384" width="9.140625" style="56"/>
  </cols>
  <sheetData>
    <row r="1" spans="1:5" ht="76.5" customHeight="1">
      <c r="A1" s="79"/>
      <c r="B1" s="3542" t="s">
        <v>1289</v>
      </c>
      <c r="C1" s="3542"/>
      <c r="D1" s="3542"/>
    </row>
    <row r="2" spans="1:5" ht="63" customHeight="1" thickBot="1">
      <c r="A2" s="3543" t="s">
        <v>95</v>
      </c>
      <c r="B2" s="3543"/>
      <c r="C2" s="3543"/>
      <c r="D2" s="3543"/>
    </row>
    <row r="3" spans="1:5" ht="22.5" customHeight="1" thickBot="1">
      <c r="A3" s="77" t="s">
        <v>15</v>
      </c>
      <c r="B3" s="78" t="s">
        <v>94</v>
      </c>
      <c r="C3" s="77" t="s">
        <v>93</v>
      </c>
      <c r="D3" s="76" t="s">
        <v>92</v>
      </c>
    </row>
    <row r="4" spans="1:5" ht="15" customHeight="1" thickBot="1">
      <c r="A4" s="3538" t="s">
        <v>91</v>
      </c>
      <c r="B4" s="3539"/>
      <c r="C4" s="75">
        <f>SUM(C5:C6)</f>
        <v>3020</v>
      </c>
      <c r="D4" s="74">
        <f>SUM(D5:D6)</f>
        <v>3020</v>
      </c>
    </row>
    <row r="5" spans="1:5" ht="26.25" customHeight="1">
      <c r="A5" s="95">
        <v>1</v>
      </c>
      <c r="B5" s="73" t="s">
        <v>105</v>
      </c>
      <c r="C5" s="84">
        <v>20</v>
      </c>
      <c r="D5" s="85">
        <v>20</v>
      </c>
      <c r="E5" s="62"/>
    </row>
    <row r="6" spans="1:5" ht="15" customHeight="1" thickBot="1">
      <c r="A6" s="96">
        <v>2</v>
      </c>
      <c r="B6" s="71" t="s">
        <v>90</v>
      </c>
      <c r="C6" s="86">
        <v>3000</v>
      </c>
      <c r="D6" s="87">
        <v>3000</v>
      </c>
      <c r="E6" s="62"/>
    </row>
    <row r="7" spans="1:5" ht="15" customHeight="1" thickBot="1">
      <c r="A7" s="3538" t="s">
        <v>89</v>
      </c>
      <c r="B7" s="3539"/>
      <c r="C7" s="88">
        <f>SUM(C8:C13)</f>
        <v>301238</v>
      </c>
      <c r="D7" s="89">
        <f>SUM(D8:D13)</f>
        <v>301238</v>
      </c>
      <c r="E7" s="62"/>
    </row>
    <row r="8" spans="1:5" ht="27" customHeight="1">
      <c r="A8" s="97">
        <v>1</v>
      </c>
      <c r="B8" s="81" t="s">
        <v>99</v>
      </c>
      <c r="C8" s="90">
        <v>64000</v>
      </c>
      <c r="D8" s="91">
        <v>64000</v>
      </c>
      <c r="E8" s="62"/>
    </row>
    <row r="9" spans="1:5" ht="27" customHeight="1">
      <c r="A9" s="98">
        <v>2</v>
      </c>
      <c r="B9" s="82" t="s">
        <v>100</v>
      </c>
      <c r="C9" s="92">
        <v>23748</v>
      </c>
      <c r="D9" s="93">
        <v>23748</v>
      </c>
      <c r="E9" s="62"/>
    </row>
    <row r="10" spans="1:5" ht="27" customHeight="1">
      <c r="A10" s="98">
        <v>3</v>
      </c>
      <c r="B10" s="82" t="s">
        <v>101</v>
      </c>
      <c r="C10" s="92">
        <v>1000</v>
      </c>
      <c r="D10" s="93">
        <v>1000</v>
      </c>
      <c r="E10" s="62"/>
    </row>
    <row r="11" spans="1:5" ht="27" customHeight="1">
      <c r="A11" s="98">
        <v>4</v>
      </c>
      <c r="B11" s="82" t="s">
        <v>102</v>
      </c>
      <c r="C11" s="92">
        <v>45700</v>
      </c>
      <c r="D11" s="93">
        <v>45700</v>
      </c>
      <c r="E11" s="62"/>
    </row>
    <row r="12" spans="1:5" ht="27" customHeight="1">
      <c r="A12" s="98">
        <v>5</v>
      </c>
      <c r="B12" s="82" t="s">
        <v>98</v>
      </c>
      <c r="C12" s="92">
        <v>5000</v>
      </c>
      <c r="D12" s="93">
        <v>5000</v>
      </c>
      <c r="E12" s="62"/>
    </row>
    <row r="13" spans="1:5" s="67" customFormat="1" ht="27.75" customHeight="1" thickBot="1">
      <c r="A13" s="96">
        <v>6</v>
      </c>
      <c r="B13" s="83" t="s">
        <v>97</v>
      </c>
      <c r="C13" s="86">
        <v>161790</v>
      </c>
      <c r="D13" s="87">
        <v>161790</v>
      </c>
      <c r="E13" s="72"/>
    </row>
    <row r="14" spans="1:5" ht="15" customHeight="1" thickBot="1">
      <c r="A14" s="3538" t="s">
        <v>88</v>
      </c>
      <c r="B14" s="3539"/>
      <c r="C14" s="88">
        <f>SUM(C15)</f>
        <v>1277904</v>
      </c>
      <c r="D14" s="89">
        <f>SUM(D15)</f>
        <v>1277904</v>
      </c>
      <c r="E14" s="62"/>
    </row>
    <row r="15" spans="1:5" ht="15" customHeight="1" thickBot="1">
      <c r="A15" s="70">
        <v>1</v>
      </c>
      <c r="B15" s="69" t="s">
        <v>87</v>
      </c>
      <c r="C15" s="84">
        <v>1277904</v>
      </c>
      <c r="D15" s="85">
        <v>1277904</v>
      </c>
      <c r="E15" s="72"/>
    </row>
    <row r="16" spans="1:5" ht="15" customHeight="1" thickBot="1">
      <c r="A16" s="3538" t="s">
        <v>86</v>
      </c>
      <c r="B16" s="3539"/>
      <c r="C16" s="88">
        <f>SUM(C17:C20)</f>
        <v>306500</v>
      </c>
      <c r="D16" s="89">
        <f>SUM(D17:D20)</f>
        <v>306500</v>
      </c>
      <c r="E16" s="62"/>
    </row>
    <row r="17" spans="1:5" ht="15" customHeight="1">
      <c r="A17" s="97">
        <v>1</v>
      </c>
      <c r="B17" s="64" t="s">
        <v>85</v>
      </c>
      <c r="C17" s="90">
        <v>71000</v>
      </c>
      <c r="D17" s="91">
        <v>71000</v>
      </c>
      <c r="E17" s="62"/>
    </row>
    <row r="18" spans="1:5" s="67" customFormat="1" ht="15" customHeight="1">
      <c r="A18" s="98">
        <v>2</v>
      </c>
      <c r="B18" s="66" t="s">
        <v>84</v>
      </c>
      <c r="C18" s="92">
        <v>31400</v>
      </c>
      <c r="D18" s="93">
        <v>31400</v>
      </c>
      <c r="E18" s="68"/>
    </row>
    <row r="19" spans="1:5" ht="15" customHeight="1">
      <c r="A19" s="98">
        <v>3</v>
      </c>
      <c r="B19" s="66" t="s">
        <v>83</v>
      </c>
      <c r="C19" s="92">
        <v>170000</v>
      </c>
      <c r="D19" s="93">
        <v>170000</v>
      </c>
      <c r="E19" s="62"/>
    </row>
    <row r="20" spans="1:5" ht="15" customHeight="1" thickBot="1">
      <c r="A20" s="96">
        <v>4</v>
      </c>
      <c r="B20" s="65" t="s">
        <v>82</v>
      </c>
      <c r="C20" s="86">
        <v>34100</v>
      </c>
      <c r="D20" s="87">
        <v>34100</v>
      </c>
      <c r="E20" s="62"/>
    </row>
    <row r="21" spans="1:5" ht="15" customHeight="1" thickBot="1">
      <c r="A21" s="3538" t="s">
        <v>81</v>
      </c>
      <c r="B21" s="3539"/>
      <c r="C21" s="88">
        <f>SUM(C22:C22)</f>
        <v>195000</v>
      </c>
      <c r="D21" s="89">
        <f>SUM(D22:D22)</f>
        <v>195000</v>
      </c>
      <c r="E21" s="62"/>
    </row>
    <row r="22" spans="1:5" ht="29.25" customHeight="1" thickBot="1">
      <c r="A22" s="99">
        <v>1</v>
      </c>
      <c r="B22" s="80" t="s">
        <v>104</v>
      </c>
      <c r="C22" s="84">
        <v>195000</v>
      </c>
      <c r="D22" s="85">
        <v>195000</v>
      </c>
      <c r="E22" s="62"/>
    </row>
    <row r="23" spans="1:5" ht="24" customHeight="1" thickBot="1">
      <c r="A23" s="3540" t="s">
        <v>80</v>
      </c>
      <c r="B23" s="3541"/>
      <c r="C23" s="63">
        <f>SUM(C4,C7,C14,C16,C21)</f>
        <v>2083662</v>
      </c>
      <c r="D23" s="63">
        <f>SUM(D4,D7,D14,D16,D21)</f>
        <v>2083662</v>
      </c>
      <c r="E23" s="62"/>
    </row>
    <row r="24" spans="1:5" ht="12.75" customHeight="1">
      <c r="A24" s="61"/>
      <c r="B24" s="61"/>
      <c r="C24" s="60"/>
      <c r="D24" s="60"/>
    </row>
    <row r="26" spans="1:5">
      <c r="A26" s="59"/>
      <c r="B26" s="58"/>
      <c r="C26" s="57"/>
      <c r="D26" s="57"/>
    </row>
  </sheetData>
  <mergeCells count="8">
    <mergeCell ref="A16:B16"/>
    <mergeCell ref="A21:B21"/>
    <mergeCell ref="A23:B23"/>
    <mergeCell ref="B1:D1"/>
    <mergeCell ref="A2:D2"/>
    <mergeCell ref="A4:B4"/>
    <mergeCell ref="A7:B7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23</vt:i4>
      </vt:variant>
    </vt:vector>
  </HeadingPairs>
  <TitlesOfParts>
    <vt:vector size="40" baseType="lpstr">
      <vt:lpstr>Tabela Nr 1</vt:lpstr>
      <vt:lpstr>Tabela Nr 2 </vt:lpstr>
      <vt:lpstr>Tabela Nr 3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 Załącznik Nr 8</vt:lpstr>
      <vt:lpstr>Załącznik Nr 9</vt:lpstr>
      <vt:lpstr> Załącznik Nr 10</vt:lpstr>
      <vt:lpstr>Zał Nr 11 adm.rząd.doch.</vt:lpstr>
      <vt:lpstr>Zał Nr 11 adm.rzad.wyd.</vt:lpstr>
      <vt:lpstr>Zał Nr 12</vt:lpstr>
      <vt:lpstr>Załącznik Nr 13</vt:lpstr>
      <vt:lpstr>' Załącznik Nr 10'!Obszar_wydruku</vt:lpstr>
      <vt:lpstr>' Załącznik Nr 8'!Obszar_wydruku</vt:lpstr>
      <vt:lpstr>'Tabela Nr 1'!Obszar_wydruku</vt:lpstr>
      <vt:lpstr>'Tabela Nr 2 '!Obszar_wydruku</vt:lpstr>
      <vt:lpstr>'Tabela Nr 3'!Obszar_wydruku</vt:lpstr>
      <vt:lpstr>'Zał Nr 11 adm.rzad.wyd.'!Obszar_wydruku</vt:lpstr>
      <vt:lpstr>'Zał Nr 11 adm.rząd.doch.'!Obszar_wydruku</vt:lpstr>
      <vt:lpstr>'Zał Nr 12'!Obszar_wydruku</vt:lpstr>
      <vt:lpstr>'Załącznik Nr 1'!Obszar_wydruku</vt:lpstr>
      <vt:lpstr>'Załącznik Nr 13'!Obszar_wydruku</vt:lpstr>
      <vt:lpstr>'Załącznik Nr 2'!Obszar_wydruku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'Załącznik Nr 9'!Obszar_wydruku</vt:lpstr>
      <vt:lpstr>'Tabela Nr 1'!Tytuły_wydruku</vt:lpstr>
      <vt:lpstr>'Tabela Nr 2 '!Tytuły_wydruku</vt:lpstr>
      <vt:lpstr>'Zał Nr 11 adm.rzad.wyd.'!Tytuły_wydruku</vt:lpstr>
      <vt:lpstr>'Załącznik Nr 2'!Tytuły_wydruku</vt:lpstr>
      <vt:lpstr>'Załącznik Nr 3'!Tytuły_wydruku</vt:lpstr>
      <vt:lpstr>'Załącznik Nr 5'!Tytuły_wydruku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2019-12-31T07:45:48Z</dcterms:modified>
</cp:coreProperties>
</file>